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carsondave/Documents/HPPA/"/>
    </mc:Choice>
  </mc:AlternateContent>
  <xr:revisionPtr revIDLastSave="0" documentId="13_ncr:1_{94572F9B-3139-3C46-A06A-47030F97D742}" xr6:coauthVersionLast="36" xr6:coauthVersionMax="36" xr10:uidLastSave="{00000000-0000-0000-0000-000000000000}"/>
  <bookViews>
    <workbookView xWindow="1420" yWindow="440" windowWidth="32240" windowHeight="26220" xr2:uid="{A0ABF5C2-4EF9-46AA-9363-7B0CADD07C84}"/>
  </bookViews>
  <sheets>
    <sheet name="MASTER SUMMARY" sheetId="6" r:id="rId1"/>
    <sheet name="SUMMARY GRAPHS" sheetId="14" r:id="rId2"/>
    <sheet name="DETAILED MODELLER - PERSON 1" sheetId="1" r:id="rId3"/>
    <sheet name="TABLES-ACTUAL &amp; FUTURE RATES" sheetId="5" r:id="rId4"/>
    <sheet name="RPI &amp; Discretionary Comparison" sheetId="18" r:id="rId5"/>
    <sheet name="Buying Power example" sheetId="15" r:id="rId6"/>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4" i="6" l="1"/>
  <c r="H14" i="6"/>
  <c r="M13" i="6" l="1"/>
  <c r="N6" i="1" l="1"/>
  <c r="V6" i="1" s="1"/>
  <c r="M93" i="6" l="1"/>
  <c r="M49" i="6"/>
  <c r="M94" i="6" l="1"/>
  <c r="BS13" i="18"/>
  <c r="BT13" i="18" s="1"/>
  <c r="BU13" i="18" s="1"/>
  <c r="BV13" i="18" s="1"/>
  <c r="BR13" i="18"/>
  <c r="BR12" i="18"/>
  <c r="BS12" i="18"/>
  <c r="BT12" i="18"/>
  <c r="BU12" i="18"/>
  <c r="BV12" i="18"/>
  <c r="AI13" i="18"/>
  <c r="AJ13" i="18" s="1"/>
  <c r="AK13" i="18" s="1"/>
  <c r="AL13" i="18" s="1"/>
  <c r="AM13" i="18" s="1"/>
  <c r="AN13" i="18" s="1"/>
  <c r="AO13" i="18" s="1"/>
  <c r="AP13" i="18" s="1"/>
  <c r="AQ13" i="18" s="1"/>
  <c r="AR13" i="18" s="1"/>
  <c r="AS13" i="18" s="1"/>
  <c r="AT13" i="18" s="1"/>
  <c r="AU13" i="18" s="1"/>
  <c r="AV13" i="18" s="1"/>
  <c r="AW13" i="18" s="1"/>
  <c r="AX13" i="18" s="1"/>
  <c r="AY13" i="18" s="1"/>
  <c r="AZ13" i="18" s="1"/>
  <c r="BA13" i="18" s="1"/>
  <c r="BB13" i="18" s="1"/>
  <c r="BC13" i="18" s="1"/>
  <c r="BD13" i="18" s="1"/>
  <c r="BE13" i="18" s="1"/>
  <c r="BF13" i="18" s="1"/>
  <c r="BG13" i="18" s="1"/>
  <c r="BH13" i="18" s="1"/>
  <c r="BI13" i="18" s="1"/>
  <c r="BJ13" i="18" s="1"/>
  <c r="BK13" i="18" s="1"/>
  <c r="BL13" i="18" s="1"/>
  <c r="BM13" i="18" s="1"/>
  <c r="BN13" i="18" s="1"/>
  <c r="BO13" i="18" s="1"/>
  <c r="BP13" i="18" s="1"/>
  <c r="BQ13" i="18" s="1"/>
  <c r="BQ12" i="18"/>
  <c r="BP12" i="18"/>
  <c r="BO12" i="18"/>
  <c r="BN12" i="18"/>
  <c r="BM12" i="18"/>
  <c r="BL12" i="18"/>
  <c r="BK12" i="18"/>
  <c r="BJ12" i="18"/>
  <c r="BI12" i="18"/>
  <c r="BH12" i="18"/>
  <c r="BG12" i="18"/>
  <c r="BF12" i="18"/>
  <c r="BE12" i="18"/>
  <c r="BD12" i="18"/>
  <c r="BC12" i="18"/>
  <c r="BB12" i="18"/>
  <c r="BA12" i="18"/>
  <c r="AZ12" i="18"/>
  <c r="AY12" i="18"/>
  <c r="AX12" i="18"/>
  <c r="AW12" i="18"/>
  <c r="AV12" i="18"/>
  <c r="AU12" i="18"/>
  <c r="AT12" i="18"/>
  <c r="AS12" i="18"/>
  <c r="AR12" i="18"/>
  <c r="AQ12" i="18"/>
  <c r="AP12" i="18"/>
  <c r="AO12" i="18"/>
  <c r="AN12" i="18"/>
  <c r="AM12" i="18"/>
  <c r="AL12" i="18"/>
  <c r="AK12" i="18"/>
  <c r="AJ12" i="18"/>
  <c r="AI12" i="18"/>
  <c r="AH12" i="18"/>
  <c r="AG12" i="18"/>
  <c r="AF12" i="18"/>
  <c r="AE12" i="18"/>
  <c r="AD12" i="18"/>
  <c r="AC12" i="18"/>
  <c r="AB12" i="18"/>
  <c r="AA12" i="18"/>
  <c r="Z12" i="18"/>
  <c r="Y12" i="18"/>
  <c r="X12" i="18"/>
  <c r="W12" i="18"/>
  <c r="V12" i="18"/>
  <c r="U12" i="18"/>
  <c r="T12" i="18"/>
  <c r="S12" i="18"/>
  <c r="R12" i="18"/>
  <c r="Q12" i="18"/>
  <c r="Q13" i="18" s="1"/>
  <c r="R13" i="18" s="1"/>
  <c r="S13" i="18" s="1"/>
  <c r="T13" i="18" s="1"/>
  <c r="U13" i="18" s="1"/>
  <c r="V13" i="18" s="1"/>
  <c r="W13" i="18" s="1"/>
  <c r="X13" i="18" s="1"/>
  <c r="Y13" i="18" s="1"/>
  <c r="Z13" i="18" s="1"/>
  <c r="AA13" i="18" s="1"/>
  <c r="AB13" i="18" s="1"/>
  <c r="AC13" i="18" s="1"/>
  <c r="AD13" i="18" s="1"/>
  <c r="AE13" i="18" s="1"/>
  <c r="AF13" i="18" s="1"/>
  <c r="AG13" i="18" s="1"/>
  <c r="AH13" i="18" s="1"/>
  <c r="L9" i="18"/>
  <c r="K9" i="18"/>
  <c r="J9" i="18"/>
  <c r="I9" i="18"/>
  <c r="H9" i="18"/>
  <c r="G9" i="18"/>
  <c r="F9" i="18"/>
  <c r="E9" i="18"/>
  <c r="D9" i="18"/>
  <c r="C9" i="18"/>
  <c r="P10" i="18"/>
  <c r="O10" i="18"/>
  <c r="N10" i="18"/>
  <c r="N11" i="18" s="1"/>
  <c r="O11" i="18" s="1"/>
  <c r="P11" i="18" s="1"/>
  <c r="M10" i="18"/>
  <c r="AM7" i="18"/>
  <c r="AI7" i="18"/>
  <c r="AH7" i="18"/>
  <c r="AG7" i="18"/>
  <c r="AF7" i="18"/>
  <c r="AE7" i="18"/>
  <c r="AD7" i="18"/>
  <c r="AC7" i="18"/>
  <c r="AB7" i="18"/>
  <c r="AA7" i="18"/>
  <c r="Z7" i="18"/>
  <c r="Y7" i="18"/>
  <c r="X7" i="18"/>
  <c r="W7" i="18"/>
  <c r="V7" i="18"/>
  <c r="U7" i="18"/>
  <c r="T7" i="18"/>
  <c r="S7" i="18"/>
  <c r="R7" i="18"/>
  <c r="Q7" i="18"/>
  <c r="P7" i="18"/>
  <c r="O7" i="18"/>
  <c r="N7" i="18"/>
  <c r="M7" i="18"/>
  <c r="L7" i="18"/>
  <c r="K7" i="18"/>
  <c r="J7" i="18"/>
  <c r="I7" i="18"/>
  <c r="H7" i="18"/>
  <c r="G7" i="18"/>
  <c r="F7" i="18"/>
  <c r="E7" i="18"/>
  <c r="D7" i="18"/>
  <c r="C7" i="18"/>
  <c r="C8" i="18" s="1"/>
  <c r="D8" i="18" s="1"/>
  <c r="E8" i="18" s="1"/>
  <c r="F8" i="18" s="1"/>
  <c r="G8" i="18" s="1"/>
  <c r="H8" i="18" s="1"/>
  <c r="I8" i="18" s="1"/>
  <c r="J8" i="18" s="1"/>
  <c r="K8" i="18" s="1"/>
  <c r="L8" i="18" s="1"/>
  <c r="M8" i="18" s="1"/>
  <c r="N8" i="18" s="1"/>
  <c r="O8" i="18" s="1"/>
  <c r="P8" i="18" s="1"/>
  <c r="Q8" i="18" s="1"/>
  <c r="R8" i="18" s="1"/>
  <c r="S8" i="18" s="1"/>
  <c r="T8" i="18" s="1"/>
  <c r="U8" i="18" s="1"/>
  <c r="V8" i="18" s="1"/>
  <c r="W8" i="18" s="1"/>
  <c r="X8" i="18" s="1"/>
  <c r="Y8" i="18" s="1"/>
  <c r="Z8" i="18" s="1"/>
  <c r="AA8" i="18" s="1"/>
  <c r="AB8" i="18" s="1"/>
  <c r="AC8" i="18" s="1"/>
  <c r="AD8" i="18" s="1"/>
  <c r="AE8" i="18" s="1"/>
  <c r="AF8" i="18" s="1"/>
  <c r="AG8" i="18" s="1"/>
  <c r="AH8" i="18" s="1"/>
  <c r="AI8" i="18" s="1"/>
  <c r="AI6" i="18"/>
  <c r="AJ6" i="18"/>
  <c r="AK6" i="18" s="1"/>
  <c r="AL6" i="18" s="1"/>
  <c r="AM6" i="18" s="1"/>
  <c r="AN6" i="18" s="1"/>
  <c r="AO6" i="18" s="1"/>
  <c r="AP6" i="18" s="1"/>
  <c r="AQ6" i="18" s="1"/>
  <c r="AR6" i="18" s="1"/>
  <c r="AS6" i="18" s="1"/>
  <c r="AT6" i="18" s="1"/>
  <c r="AU6" i="18" s="1"/>
  <c r="AV6" i="18" s="1"/>
  <c r="AW6" i="18" s="1"/>
  <c r="AX6" i="18" s="1"/>
  <c r="AY6" i="18" s="1"/>
  <c r="AZ6" i="18" s="1"/>
  <c r="BA6" i="18" s="1"/>
  <c r="BB6" i="18" s="1"/>
  <c r="BC6" i="18" s="1"/>
  <c r="BD6" i="18" s="1"/>
  <c r="BE6" i="18" s="1"/>
  <c r="BF6" i="18" s="1"/>
  <c r="BG6" i="18" s="1"/>
  <c r="BH6" i="18" s="1"/>
  <c r="BI6" i="18" s="1"/>
  <c r="BJ6" i="18" s="1"/>
  <c r="BK6" i="18" s="1"/>
  <c r="BL6" i="18" s="1"/>
  <c r="BM6" i="18" s="1"/>
  <c r="BN6" i="18" s="1"/>
  <c r="BO6" i="18" s="1"/>
  <c r="BP6" i="18" s="1"/>
  <c r="BQ6" i="18" s="1"/>
  <c r="BR6" i="18" s="1"/>
  <c r="BS6" i="18" s="1"/>
  <c r="BT6" i="18" s="1"/>
  <c r="BU6" i="18" s="1"/>
  <c r="BV6" i="18" s="1"/>
  <c r="BV7" i="18" s="1"/>
  <c r="AJ5" i="18"/>
  <c r="AK5" i="18" s="1"/>
  <c r="AL5" i="18" s="1"/>
  <c r="AM5" i="18" s="1"/>
  <c r="AN5" i="18" s="1"/>
  <c r="AO5" i="18" s="1"/>
  <c r="AP5" i="18" s="1"/>
  <c r="AQ5" i="18" s="1"/>
  <c r="AR5" i="18" s="1"/>
  <c r="AS5" i="18" s="1"/>
  <c r="AT5" i="18" s="1"/>
  <c r="AU5" i="18" s="1"/>
  <c r="AV5" i="18" s="1"/>
  <c r="AW5" i="18" s="1"/>
  <c r="AX5" i="18" s="1"/>
  <c r="AY5" i="18" s="1"/>
  <c r="AZ5" i="18" s="1"/>
  <c r="BA5" i="18" s="1"/>
  <c r="BB5" i="18" s="1"/>
  <c r="BC5" i="18" s="1"/>
  <c r="BD5" i="18" s="1"/>
  <c r="BE5" i="18" s="1"/>
  <c r="BF5" i="18" s="1"/>
  <c r="BG5" i="18" s="1"/>
  <c r="BH5" i="18" s="1"/>
  <c r="BI5" i="18" s="1"/>
  <c r="BJ5" i="18" s="1"/>
  <c r="BK5" i="18" s="1"/>
  <c r="BL5" i="18" s="1"/>
  <c r="BM5" i="18" s="1"/>
  <c r="BN5" i="18" s="1"/>
  <c r="BO5" i="18" s="1"/>
  <c r="BP5" i="18" s="1"/>
  <c r="BQ5" i="18" s="1"/>
  <c r="BR5" i="18" s="1"/>
  <c r="BS5" i="18" s="1"/>
  <c r="BT5" i="18" s="1"/>
  <c r="BU5" i="18" s="1"/>
  <c r="BV5" i="18" s="1"/>
  <c r="D4" i="18"/>
  <c r="E4" i="18" s="1"/>
  <c r="F4" i="18" s="1"/>
  <c r="G4" i="18" s="1"/>
  <c r="H4" i="18" s="1"/>
  <c r="I4" i="18" s="1"/>
  <c r="J4" i="18" s="1"/>
  <c r="K4" i="18" s="1"/>
  <c r="L4" i="18" s="1"/>
  <c r="M4" i="18" s="1"/>
  <c r="P4" i="18" s="1"/>
  <c r="Q4" i="18" s="1"/>
  <c r="R4" i="18" s="1"/>
  <c r="S4" i="18" s="1"/>
  <c r="M95" i="6" l="1"/>
  <c r="AK7" i="18"/>
  <c r="AO7" i="18"/>
  <c r="AS7" i="18"/>
  <c r="AW7" i="18"/>
  <c r="BA7" i="18"/>
  <c r="BE7" i="18"/>
  <c r="BI7" i="18"/>
  <c r="BM7" i="18"/>
  <c r="BQ7" i="18"/>
  <c r="BU7" i="18"/>
  <c r="AQ7" i="18"/>
  <c r="AY7" i="18"/>
  <c r="BG7" i="18"/>
  <c r="BO7" i="18"/>
  <c r="AJ7" i="18"/>
  <c r="AJ8" i="18" s="1"/>
  <c r="AK8" i="18" s="1"/>
  <c r="AL8" i="18" s="1"/>
  <c r="AM8" i="18" s="1"/>
  <c r="AN8" i="18" s="1"/>
  <c r="AO8" i="18" s="1"/>
  <c r="AP8" i="18" s="1"/>
  <c r="AQ8" i="18" s="1"/>
  <c r="AR8" i="18" s="1"/>
  <c r="AS8" i="18" s="1"/>
  <c r="AT8" i="18" s="1"/>
  <c r="AU8" i="18" s="1"/>
  <c r="AV8" i="18" s="1"/>
  <c r="AW8" i="18" s="1"/>
  <c r="AX8" i="18" s="1"/>
  <c r="AY8" i="18" s="1"/>
  <c r="AZ8" i="18" s="1"/>
  <c r="BA8" i="18" s="1"/>
  <c r="BB8" i="18" s="1"/>
  <c r="BC8" i="18" s="1"/>
  <c r="BD8" i="18" s="1"/>
  <c r="BE8" i="18" s="1"/>
  <c r="BF8" i="18" s="1"/>
  <c r="BG8" i="18" s="1"/>
  <c r="BH8" i="18" s="1"/>
  <c r="BI8" i="18" s="1"/>
  <c r="BJ8" i="18" s="1"/>
  <c r="BK8" i="18" s="1"/>
  <c r="BL8" i="18" s="1"/>
  <c r="BM8" i="18" s="1"/>
  <c r="BN8" i="18" s="1"/>
  <c r="BO8" i="18" s="1"/>
  <c r="BP8" i="18" s="1"/>
  <c r="BQ8" i="18" s="1"/>
  <c r="BR8" i="18" s="1"/>
  <c r="BS8" i="18" s="1"/>
  <c r="BT8" i="18" s="1"/>
  <c r="BU8" i="18" s="1"/>
  <c r="BV8" i="18" s="1"/>
  <c r="AN7" i="18"/>
  <c r="AR7" i="18"/>
  <c r="AV7" i="18"/>
  <c r="AZ7" i="18"/>
  <c r="BD7" i="18"/>
  <c r="BH7" i="18"/>
  <c r="BL7" i="18"/>
  <c r="BP7" i="18"/>
  <c r="BT7" i="18"/>
  <c r="AL7" i="18"/>
  <c r="AP7" i="18"/>
  <c r="AT7" i="18"/>
  <c r="AX7" i="18"/>
  <c r="BB7" i="18"/>
  <c r="BF7" i="18"/>
  <c r="BJ7" i="18"/>
  <c r="BN7" i="18"/>
  <c r="BR7" i="18"/>
  <c r="AU7" i="18"/>
  <c r="BC7" i="18"/>
  <c r="BK7" i="18"/>
  <c r="BS7" i="18"/>
  <c r="T4" i="18"/>
  <c r="U4" i="18" s="1"/>
  <c r="V4" i="18" s="1"/>
  <c r="W4" i="18" s="1"/>
  <c r="X4" i="18" s="1"/>
  <c r="Y4" i="18" s="1"/>
  <c r="Z4" i="18" s="1"/>
  <c r="AA4" i="18" s="1"/>
  <c r="AB4" i="18" s="1"/>
  <c r="AC4" i="18" s="1"/>
  <c r="AD4" i="18" s="1"/>
  <c r="AE4" i="18" s="1"/>
  <c r="AF4" i="18" s="1"/>
  <c r="AG4" i="18" s="1"/>
  <c r="AH4" i="18" s="1"/>
  <c r="AI4" i="18" s="1"/>
  <c r="AJ4" i="18" s="1"/>
  <c r="AK4" i="18" s="1"/>
  <c r="AL4" i="18" s="1"/>
  <c r="AM4" i="18" s="1"/>
  <c r="AN4" i="18" s="1"/>
  <c r="AO4" i="18" s="1"/>
  <c r="AP4" i="18" s="1"/>
  <c r="AQ4" i="18" s="1"/>
  <c r="AR4" i="18" s="1"/>
  <c r="AS4" i="18" s="1"/>
  <c r="AT4" i="18" s="1"/>
  <c r="AU4" i="18" s="1"/>
  <c r="AV4" i="18" s="1"/>
  <c r="AW4" i="18" s="1"/>
  <c r="AX4" i="18" s="1"/>
  <c r="AY4" i="18" s="1"/>
  <c r="AZ4" i="18" s="1"/>
  <c r="BA4" i="18" s="1"/>
  <c r="BB4" i="18" s="1"/>
  <c r="BC4" i="18" s="1"/>
  <c r="BD4" i="18" s="1"/>
  <c r="BE4" i="18" s="1"/>
  <c r="BF4" i="18" s="1"/>
  <c r="BG4" i="18" s="1"/>
  <c r="BH4" i="18" s="1"/>
  <c r="BI4" i="18" s="1"/>
  <c r="BJ4" i="18" s="1"/>
  <c r="BK4" i="18" s="1"/>
  <c r="BL4" i="18" s="1"/>
  <c r="BM4" i="18" s="1"/>
  <c r="BN4" i="18" s="1"/>
  <c r="BO4" i="18" s="1"/>
  <c r="BP4" i="18" s="1"/>
  <c r="BQ4" i="18" s="1"/>
  <c r="BR4" i="18" s="1"/>
  <c r="BS4" i="18" s="1"/>
  <c r="BT4" i="18" s="1"/>
  <c r="BU4" i="18" s="1"/>
  <c r="BV4" i="18" s="1"/>
  <c r="M96" i="6" l="1"/>
  <c r="BV15" i="1"/>
  <c r="BW15" i="1" s="1"/>
  <c r="M97" i="6" l="1"/>
  <c r="L10" i="15"/>
  <c r="L9" i="15"/>
  <c r="L8" i="15"/>
  <c r="L7" i="15"/>
  <c r="G12" i="15"/>
  <c r="G8" i="15"/>
  <c r="G9" i="15" s="1"/>
  <c r="G10" i="15" s="1"/>
  <c r="G7" i="15"/>
  <c r="H6" i="15"/>
  <c r="H7" i="15" s="1"/>
  <c r="M98" i="6" l="1"/>
  <c r="I7" i="15"/>
  <c r="J7" i="15" s="1"/>
  <c r="H8" i="15"/>
  <c r="I6" i="15"/>
  <c r="G11" i="15"/>
  <c r="Q12" i="6"/>
  <c r="M99" i="6" l="1"/>
  <c r="I8" i="15"/>
  <c r="J8" i="15" s="1"/>
  <c r="H9" i="15"/>
  <c r="K6" i="15"/>
  <c r="K7" i="15" s="1"/>
  <c r="K8" i="15" s="1"/>
  <c r="C96" i="1"/>
  <c r="D96" i="1" s="1"/>
  <c r="E96" i="1" s="1"/>
  <c r="F96" i="1" s="1"/>
  <c r="G96" i="1" s="1"/>
  <c r="H96" i="1" s="1"/>
  <c r="I96" i="1" s="1"/>
  <c r="M100" i="6" l="1"/>
  <c r="H10" i="15"/>
  <c r="I10" i="15" s="1"/>
  <c r="J10" i="15" s="1"/>
  <c r="H11" i="15"/>
  <c r="I9" i="15"/>
  <c r="J9" i="15" s="1"/>
  <c r="K9" i="15"/>
  <c r="K10" i="15" s="1"/>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M101" i="6" l="1"/>
  <c r="AZ10" i="1"/>
  <c r="BA10" i="1" s="1"/>
  <c r="BB10" i="1" s="1"/>
  <c r="BC10" i="1" s="1"/>
  <c r="BD10" i="1" s="1"/>
  <c r="BE10" i="1" s="1"/>
  <c r="BF10" i="1" s="1"/>
  <c r="BG10" i="1" s="1"/>
  <c r="BH10" i="1" s="1"/>
  <c r="BI10" i="1" s="1"/>
  <c r="BJ10" i="1" s="1"/>
  <c r="BK10" i="1" s="1"/>
  <c r="BL10" i="1" s="1"/>
  <c r="BM10" i="1" s="1"/>
  <c r="BN10" i="1" s="1"/>
  <c r="BO10" i="1" s="1"/>
  <c r="BP10" i="1" s="1"/>
  <c r="BQ10" i="1" s="1"/>
  <c r="BR10" i="1" s="1"/>
  <c r="BS10" i="1" s="1"/>
  <c r="E15" i="1"/>
  <c r="F15" i="1" s="1"/>
  <c r="G15" i="1" s="1"/>
  <c r="H15" i="1" s="1"/>
  <c r="I15" i="1" s="1"/>
  <c r="J15" i="1" s="1"/>
  <c r="K15" i="1" s="1"/>
  <c r="L15" i="1" s="1"/>
  <c r="M15" i="1" s="1"/>
  <c r="N15" i="1" s="1"/>
  <c r="O15" i="1" s="1"/>
  <c r="P15" i="1" s="1"/>
  <c r="Q15" i="1" s="1"/>
  <c r="R15" i="1" s="1"/>
  <c r="S15" i="1" s="1"/>
  <c r="T15" i="1" s="1"/>
  <c r="U15" i="1" s="1"/>
  <c r="V15" i="1" s="1"/>
  <c r="W15" i="1" s="1"/>
  <c r="X15" i="1" s="1"/>
  <c r="Y15" i="1" s="1"/>
  <c r="Z15" i="1" s="1"/>
  <c r="AA15" i="1" s="1"/>
  <c r="AB15" i="1" s="1"/>
  <c r="AC15" i="1" s="1"/>
  <c r="AD15" i="1" s="1"/>
  <c r="AE15" i="1" s="1"/>
  <c r="AF15" i="1" s="1"/>
  <c r="AG15" i="1" s="1"/>
  <c r="AH15" i="1" s="1"/>
  <c r="AI15" i="1" s="1"/>
  <c r="AJ15" i="1" s="1"/>
  <c r="AK15" i="1" s="1"/>
  <c r="AL15" i="1" s="1"/>
  <c r="AM15" i="1" s="1"/>
  <c r="AN15" i="1" s="1"/>
  <c r="AO15" i="1" s="1"/>
  <c r="AP15" i="1" s="1"/>
  <c r="AQ15" i="1" s="1"/>
  <c r="AR15" i="1" s="1"/>
  <c r="AS15" i="1" s="1"/>
  <c r="AT15" i="1" s="1"/>
  <c r="AU15" i="1" s="1"/>
  <c r="AV15" i="1" s="1"/>
  <c r="AW15" i="1" s="1"/>
  <c r="T17" i="6"/>
  <c r="B91" i="6"/>
  <c r="D91" i="6"/>
  <c r="F91" i="6"/>
  <c r="G91" i="6"/>
  <c r="H91" i="6"/>
  <c r="I91" i="6"/>
  <c r="K91" i="6" s="1"/>
  <c r="J91" i="6"/>
  <c r="T9" i="5"/>
  <c r="S9" i="5"/>
  <c r="Q9" i="5"/>
  <c r="O9" i="5"/>
  <c r="M9" i="5"/>
  <c r="M102" i="6" l="1"/>
  <c r="E41" i="5"/>
  <c r="M103" i="6" l="1"/>
  <c r="F41" i="5"/>
  <c r="F42" i="5"/>
  <c r="F43" i="5" s="1"/>
  <c r="F44" i="5" s="1"/>
  <c r="F45" i="5" s="1"/>
  <c r="F46" i="5" s="1"/>
  <c r="F47" i="5" s="1"/>
  <c r="E42" i="5"/>
  <c r="M104" i="6" l="1"/>
  <c r="F48" i="5"/>
  <c r="F49" i="5" s="1"/>
  <c r="F50" i="5" s="1"/>
  <c r="F51" i="5" s="1"/>
  <c r="F52" i="5" s="1"/>
  <c r="F53" i="5" s="1"/>
  <c r="F54" i="5" s="1"/>
  <c r="F55" i="5" s="1"/>
  <c r="F56" i="5" s="1"/>
  <c r="F57" i="5" s="1"/>
  <c r="F58" i="5" s="1"/>
  <c r="F59" i="5" s="1"/>
  <c r="F60" i="5" s="1"/>
  <c r="F61" i="5" s="1"/>
  <c r="F62" i="5" s="1"/>
  <c r="F63" i="5" s="1"/>
  <c r="F64" i="5" s="1"/>
  <c r="F65" i="5" s="1"/>
  <c r="F66" i="5" s="1"/>
  <c r="F67" i="5" s="1"/>
  <c r="F68" i="5" s="1"/>
  <c r="F69" i="5" s="1"/>
  <c r="F70" i="5" s="1"/>
  <c r="F71" i="5" s="1"/>
  <c r="F72" i="5" s="1"/>
  <c r="F73" i="5" s="1"/>
  <c r="F74" i="5" s="1"/>
  <c r="F75" i="5" s="1"/>
  <c r="F76" i="5" s="1"/>
  <c r="F77" i="5" s="1"/>
  <c r="F78" i="5" s="1"/>
  <c r="F79" i="5" s="1"/>
  <c r="F80" i="5" s="1"/>
  <c r="U47" i="5"/>
  <c r="E43" i="5"/>
  <c r="M105" i="6" l="1"/>
  <c r="E44" i="5"/>
  <c r="M38" i="5"/>
  <c r="M37" i="5"/>
  <c r="M36" i="5"/>
  <c r="M35" i="5"/>
  <c r="M34" i="5"/>
  <c r="O34" i="5" s="1"/>
  <c r="Q34" i="5" s="1"/>
  <c r="S34" i="5" s="1"/>
  <c r="U34" i="5" s="1"/>
  <c r="M33" i="5"/>
  <c r="O33" i="5" s="1"/>
  <c r="Q33" i="5" s="1"/>
  <c r="S33" i="5" s="1"/>
  <c r="U33" i="5" s="1"/>
  <c r="M32" i="5"/>
  <c r="O32" i="5" s="1"/>
  <c r="Q32" i="5" s="1"/>
  <c r="S32" i="5" s="1"/>
  <c r="U32" i="5" s="1"/>
  <c r="M31" i="5"/>
  <c r="O31" i="5" s="1"/>
  <c r="Q31" i="5" s="1"/>
  <c r="S31" i="5" s="1"/>
  <c r="U31" i="5" s="1"/>
  <c r="M30" i="5"/>
  <c r="O30" i="5" s="1"/>
  <c r="Q30" i="5" s="1"/>
  <c r="S30" i="5" s="1"/>
  <c r="U30" i="5" s="1"/>
  <c r="M29" i="5"/>
  <c r="O29" i="5" s="1"/>
  <c r="Q29" i="5" s="1"/>
  <c r="S29" i="5" s="1"/>
  <c r="U29" i="5" s="1"/>
  <c r="M28" i="5"/>
  <c r="O28" i="5" s="1"/>
  <c r="Q28" i="5" s="1"/>
  <c r="S28" i="5" s="1"/>
  <c r="U28" i="5" s="1"/>
  <c r="M27" i="5"/>
  <c r="O27" i="5" s="1"/>
  <c r="Q27" i="5" s="1"/>
  <c r="S27" i="5" s="1"/>
  <c r="U27" i="5" s="1"/>
  <c r="M26" i="5"/>
  <c r="O26" i="5" s="1"/>
  <c r="Q26" i="5" s="1"/>
  <c r="S26" i="5" s="1"/>
  <c r="U26" i="5" s="1"/>
  <c r="M25" i="5"/>
  <c r="O25" i="5" s="1"/>
  <c r="Q25" i="5" s="1"/>
  <c r="S25" i="5" s="1"/>
  <c r="U25" i="5" s="1"/>
  <c r="M24" i="5"/>
  <c r="O24" i="5" s="1"/>
  <c r="Q24" i="5" s="1"/>
  <c r="S24" i="5" s="1"/>
  <c r="U24" i="5" s="1"/>
  <c r="M23" i="5"/>
  <c r="O23" i="5" s="1"/>
  <c r="Q23" i="5" s="1"/>
  <c r="S23" i="5" s="1"/>
  <c r="U23" i="5" s="1"/>
  <c r="M22" i="5"/>
  <c r="O22" i="5" s="1"/>
  <c r="Q22" i="5" s="1"/>
  <c r="S22" i="5" s="1"/>
  <c r="U22" i="5" s="1"/>
  <c r="M21" i="5"/>
  <c r="O21" i="5" s="1"/>
  <c r="Q21" i="5" s="1"/>
  <c r="S21" i="5" s="1"/>
  <c r="U21" i="5" s="1"/>
  <c r="M20" i="5"/>
  <c r="O20" i="5" s="1"/>
  <c r="Q20" i="5" s="1"/>
  <c r="S20" i="5" s="1"/>
  <c r="U20" i="5" s="1"/>
  <c r="M19" i="5"/>
  <c r="O19" i="5" s="1"/>
  <c r="Q19" i="5" s="1"/>
  <c r="S19" i="5" s="1"/>
  <c r="U19" i="5" s="1"/>
  <c r="M18" i="5"/>
  <c r="O18" i="5" s="1"/>
  <c r="Q18" i="5" s="1"/>
  <c r="S18" i="5" s="1"/>
  <c r="U18" i="5" s="1"/>
  <c r="M17" i="5"/>
  <c r="O17" i="5" s="1"/>
  <c r="Q17" i="5" s="1"/>
  <c r="S17" i="5" s="1"/>
  <c r="U17" i="5" s="1"/>
  <c r="M16" i="5"/>
  <c r="O16" i="5" s="1"/>
  <c r="Q16" i="5" s="1"/>
  <c r="S16" i="5" s="1"/>
  <c r="U16" i="5" s="1"/>
  <c r="M15" i="5"/>
  <c r="O15" i="5" s="1"/>
  <c r="Q15" i="5" s="1"/>
  <c r="S15" i="5" s="1"/>
  <c r="U15" i="5" s="1"/>
  <c r="M14" i="5"/>
  <c r="O14" i="5" s="1"/>
  <c r="Q14" i="5" s="1"/>
  <c r="S14" i="5" s="1"/>
  <c r="U14" i="5" s="1"/>
  <c r="M13" i="5"/>
  <c r="O13" i="5" s="1"/>
  <c r="Q13" i="5" s="1"/>
  <c r="S13" i="5" s="1"/>
  <c r="U13" i="5" s="1"/>
  <c r="M12" i="5"/>
  <c r="O12" i="5" s="1"/>
  <c r="Q12" i="5" s="1"/>
  <c r="S12" i="5" s="1"/>
  <c r="U12" i="5" s="1"/>
  <c r="M11" i="5"/>
  <c r="O11" i="5" s="1"/>
  <c r="Q11" i="5" s="1"/>
  <c r="S11" i="5" s="1"/>
  <c r="U11" i="5" s="1"/>
  <c r="M10" i="5"/>
  <c r="O10" i="5" s="1"/>
  <c r="Q10" i="5" s="1"/>
  <c r="S10" i="5" s="1"/>
  <c r="U10" i="5" s="1"/>
  <c r="AF9" i="5"/>
  <c r="AI9" i="5"/>
  <c r="AI10" i="5" s="1"/>
  <c r="AI11" i="5" s="1"/>
  <c r="AI12" i="5" s="1"/>
  <c r="AI13" i="5" s="1"/>
  <c r="AI14" i="5" s="1"/>
  <c r="AI15" i="5" s="1"/>
  <c r="AI16" i="5" s="1"/>
  <c r="AI17" i="5" s="1"/>
  <c r="AI18" i="5" s="1"/>
  <c r="AI19" i="5" s="1"/>
  <c r="AI20" i="5" s="1"/>
  <c r="AI21" i="5" s="1"/>
  <c r="AI22" i="5" s="1"/>
  <c r="AI23" i="5" s="1"/>
  <c r="AI24" i="5" s="1"/>
  <c r="AI25" i="5" s="1"/>
  <c r="AI26" i="5" s="1"/>
  <c r="AI27" i="5" s="1"/>
  <c r="AI28" i="5" s="1"/>
  <c r="AI29" i="5" s="1"/>
  <c r="AI30" i="5" s="1"/>
  <c r="AI31" i="5" s="1"/>
  <c r="AI32" i="5" s="1"/>
  <c r="AI33" i="5" s="1"/>
  <c r="AK9" i="5"/>
  <c r="AF10" i="5"/>
  <c r="M106" i="6" l="1"/>
  <c r="E45" i="5"/>
  <c r="O38" i="5"/>
  <c r="O35" i="5"/>
  <c r="O37" i="5"/>
  <c r="O36" i="5"/>
  <c r="AK10" i="5"/>
  <c r="AI34" i="5"/>
  <c r="AI35" i="5"/>
  <c r="AF11" i="5"/>
  <c r="M107" i="6" l="1"/>
  <c r="E46" i="5"/>
  <c r="Q37" i="5"/>
  <c r="Q35" i="5"/>
  <c r="Q38" i="5"/>
  <c r="Q36" i="5"/>
  <c r="AK11" i="5"/>
  <c r="AF12" i="5"/>
  <c r="AI37" i="5"/>
  <c r="AI38" i="5" s="1"/>
  <c r="AI36" i="5"/>
  <c r="D52" i="1"/>
  <c r="D51" i="1"/>
  <c r="M108" i="6" l="1"/>
  <c r="E47" i="5"/>
  <c r="S36" i="5"/>
  <c r="S35" i="5"/>
  <c r="S38" i="5"/>
  <c r="S37" i="5"/>
  <c r="AF13" i="5"/>
  <c r="AK12" i="5"/>
  <c r="D53" i="1"/>
  <c r="F17" i="1"/>
  <c r="C17" i="1"/>
  <c r="G17" i="1" s="1"/>
  <c r="D17" i="1"/>
  <c r="M109" i="6" l="1"/>
  <c r="F18" i="1"/>
  <c r="E48" i="5"/>
  <c r="U35" i="5"/>
  <c r="U38" i="5"/>
  <c r="U36" i="5"/>
  <c r="U37" i="5"/>
  <c r="Q13" i="6"/>
  <c r="Q11" i="6"/>
  <c r="AH17" i="1"/>
  <c r="AU17" i="1"/>
  <c r="AB17" i="1"/>
  <c r="V17" i="1"/>
  <c r="O17" i="1"/>
  <c r="E132" i="1" s="1"/>
  <c r="AN17" i="1"/>
  <c r="AF14" i="5"/>
  <c r="AK13" i="5"/>
  <c r="F51" i="1"/>
  <c r="U41" i="5"/>
  <c r="V75" i="5"/>
  <c r="V76" i="5" s="1"/>
  <c r="V77" i="5" s="1"/>
  <c r="V78" i="5" s="1"/>
  <c r="V79" i="5" s="1"/>
  <c r="V80" i="5" s="1"/>
  <c r="V67" i="5"/>
  <c r="V68" i="5" s="1"/>
  <c r="V69" i="5" s="1"/>
  <c r="V70" i="5" s="1"/>
  <c r="V71" i="5" s="1"/>
  <c r="V72" i="5" s="1"/>
  <c r="V73" i="5" s="1"/>
  <c r="V57" i="5"/>
  <c r="V58" i="5" s="1"/>
  <c r="V59" i="5" s="1"/>
  <c r="V60" i="5" s="1"/>
  <c r="V61" i="5" s="1"/>
  <c r="V62" i="5" s="1"/>
  <c r="V63" i="5" s="1"/>
  <c r="V64" i="5" s="1"/>
  <c r="V65" i="5" s="1"/>
  <c r="V51" i="5"/>
  <c r="V53" i="5" s="1"/>
  <c r="V54" i="5" s="1"/>
  <c r="V55" i="5" s="1"/>
  <c r="S41" i="5"/>
  <c r="Q41" i="5"/>
  <c r="O41" i="5"/>
  <c r="R41" i="5"/>
  <c r="R42" i="5" s="1"/>
  <c r="R43" i="5" s="1"/>
  <c r="R44" i="5" s="1"/>
  <c r="R45" i="5" s="1"/>
  <c r="R46" i="5" s="1"/>
  <c r="R47" i="5" s="1"/>
  <c r="R48" i="5" s="1"/>
  <c r="R49" i="5" s="1"/>
  <c r="R50" i="5" s="1"/>
  <c r="R51" i="5" s="1"/>
  <c r="R52" i="5" s="1"/>
  <c r="R53" i="5" s="1"/>
  <c r="R54" i="5" s="1"/>
  <c r="R55" i="5" s="1"/>
  <c r="R56" i="5" s="1"/>
  <c r="R57" i="5" s="1"/>
  <c r="R58" i="5" s="1"/>
  <c r="R59" i="5" s="1"/>
  <c r="R60" i="5" s="1"/>
  <c r="R61" i="5" s="1"/>
  <c r="R62" i="5" s="1"/>
  <c r="R63" i="5" s="1"/>
  <c r="R64" i="5" s="1"/>
  <c r="R65" i="5" s="1"/>
  <c r="R66" i="5" s="1"/>
  <c r="R67" i="5" s="1"/>
  <c r="R68" i="5" s="1"/>
  <c r="R69" i="5" s="1"/>
  <c r="R70" i="5" s="1"/>
  <c r="R71" i="5" s="1"/>
  <c r="R72" i="5" s="1"/>
  <c r="R73" i="5" s="1"/>
  <c r="R74" i="5" s="1"/>
  <c r="R75" i="5" s="1"/>
  <c r="R76" i="5" s="1"/>
  <c r="R77" i="5" s="1"/>
  <c r="R78" i="5" s="1"/>
  <c r="R79" i="5" s="1"/>
  <c r="R80" i="5" s="1"/>
  <c r="P41" i="5"/>
  <c r="P42" i="5" s="1"/>
  <c r="P43" i="5" s="1"/>
  <c r="P44" i="5" s="1"/>
  <c r="P45" i="5" s="1"/>
  <c r="P46" i="5" s="1"/>
  <c r="P47" i="5" s="1"/>
  <c r="P48" i="5" s="1"/>
  <c r="P49" i="5" s="1"/>
  <c r="P50" i="5" s="1"/>
  <c r="P51" i="5" s="1"/>
  <c r="P52" i="5" s="1"/>
  <c r="P53" i="5" s="1"/>
  <c r="P54" i="5" s="1"/>
  <c r="P55" i="5" s="1"/>
  <c r="P56" i="5" s="1"/>
  <c r="P57" i="5" s="1"/>
  <c r="P58" i="5" s="1"/>
  <c r="P59" i="5" s="1"/>
  <c r="P60" i="5" s="1"/>
  <c r="P61" i="5" s="1"/>
  <c r="P62" i="5" s="1"/>
  <c r="P63" i="5" s="1"/>
  <c r="P64" i="5" s="1"/>
  <c r="P65" i="5" s="1"/>
  <c r="P66" i="5" s="1"/>
  <c r="P67" i="5" s="1"/>
  <c r="P68" i="5" s="1"/>
  <c r="P69" i="5" s="1"/>
  <c r="P70" i="5" s="1"/>
  <c r="P71" i="5" s="1"/>
  <c r="P72" i="5" s="1"/>
  <c r="P73" i="5" s="1"/>
  <c r="P74" i="5" s="1"/>
  <c r="P75" i="5" s="1"/>
  <c r="P76" i="5" s="1"/>
  <c r="P77" i="5" s="1"/>
  <c r="P78" i="5" s="1"/>
  <c r="P79" i="5" s="1"/>
  <c r="P80" i="5" s="1"/>
  <c r="D41" i="5"/>
  <c r="D42" i="5" s="1"/>
  <c r="D43" i="5" s="1"/>
  <c r="D44" i="5" s="1"/>
  <c r="D45" i="5" s="1"/>
  <c r="D46" i="5" s="1"/>
  <c r="D47" i="5" s="1"/>
  <c r="D48" i="5" s="1"/>
  <c r="D49" i="5" s="1"/>
  <c r="D50" i="5" s="1"/>
  <c r="D51" i="5" s="1"/>
  <c r="D52" i="5" s="1"/>
  <c r="D53" i="5" s="1"/>
  <c r="D54" i="5" s="1"/>
  <c r="D55" i="5" s="1"/>
  <c r="D56" i="5" s="1"/>
  <c r="D57" i="5" s="1"/>
  <c r="D58" i="5" s="1"/>
  <c r="D59" i="5" s="1"/>
  <c r="D60" i="5" s="1"/>
  <c r="D61" i="5" s="1"/>
  <c r="D62" i="5" s="1"/>
  <c r="D63" i="5" s="1"/>
  <c r="D64" i="5" s="1"/>
  <c r="D65" i="5" s="1"/>
  <c r="D66" i="5" s="1"/>
  <c r="D67" i="5" s="1"/>
  <c r="D68" i="5" s="1"/>
  <c r="D69" i="5" s="1"/>
  <c r="D70" i="5" s="1"/>
  <c r="D71" i="5" s="1"/>
  <c r="D72" i="5" s="1"/>
  <c r="D73" i="5" s="1"/>
  <c r="D74" i="5" s="1"/>
  <c r="D75" i="5" s="1"/>
  <c r="D76" i="5" s="1"/>
  <c r="D77" i="5" s="1"/>
  <c r="D78" i="5" s="1"/>
  <c r="D79" i="5" s="1"/>
  <c r="D80" i="5" s="1"/>
  <c r="N41" i="5"/>
  <c r="N42" i="5" s="1"/>
  <c r="N43" i="5" s="1"/>
  <c r="N44" i="5" s="1"/>
  <c r="N45" i="5" s="1"/>
  <c r="N46" i="5" s="1"/>
  <c r="N47" i="5" s="1"/>
  <c r="N48" i="5" s="1"/>
  <c r="N49" i="5" s="1"/>
  <c r="N50" i="5" s="1"/>
  <c r="N51" i="5" s="1"/>
  <c r="N52" i="5" s="1"/>
  <c r="N53" i="5" s="1"/>
  <c r="N54" i="5" s="1"/>
  <c r="N55" i="5" s="1"/>
  <c r="N56" i="5" s="1"/>
  <c r="N57" i="5" s="1"/>
  <c r="N58" i="5" s="1"/>
  <c r="N59" i="5" s="1"/>
  <c r="N60" i="5" s="1"/>
  <c r="N61" i="5" s="1"/>
  <c r="N62" i="5" s="1"/>
  <c r="N63" i="5" s="1"/>
  <c r="N64" i="5" s="1"/>
  <c r="N65" i="5" s="1"/>
  <c r="N66" i="5" s="1"/>
  <c r="N67" i="5" s="1"/>
  <c r="N68" i="5" s="1"/>
  <c r="N69" i="5" s="1"/>
  <c r="N70" i="5" s="1"/>
  <c r="N71" i="5" s="1"/>
  <c r="N72" i="5" s="1"/>
  <c r="N73" i="5" s="1"/>
  <c r="N74" i="5" s="1"/>
  <c r="N75" i="5" s="1"/>
  <c r="N76" i="5" s="1"/>
  <c r="N77" i="5" s="1"/>
  <c r="N78" i="5" s="1"/>
  <c r="N79" i="5" s="1"/>
  <c r="N80" i="5" s="1"/>
  <c r="L41" i="5"/>
  <c r="L42" i="5" s="1"/>
  <c r="L43" i="5" s="1"/>
  <c r="L44" i="5" s="1"/>
  <c r="L45" i="5" s="1"/>
  <c r="L46" i="5" s="1"/>
  <c r="L47" i="5" s="1"/>
  <c r="L48" i="5" s="1"/>
  <c r="L49" i="5" s="1"/>
  <c r="L50" i="5" s="1"/>
  <c r="L51" i="5" s="1"/>
  <c r="L52" i="5" s="1"/>
  <c r="L53" i="5" s="1"/>
  <c r="L54" i="5" s="1"/>
  <c r="L55" i="5" s="1"/>
  <c r="L56" i="5" s="1"/>
  <c r="L57" i="5" s="1"/>
  <c r="L58" i="5" s="1"/>
  <c r="L59" i="5" s="1"/>
  <c r="L60" i="5" s="1"/>
  <c r="L61" i="5" s="1"/>
  <c r="L62" i="5" s="1"/>
  <c r="L63" i="5" s="1"/>
  <c r="L64" i="5" s="1"/>
  <c r="L65" i="5" s="1"/>
  <c r="L66" i="5" s="1"/>
  <c r="L67" i="5" s="1"/>
  <c r="L68" i="5" s="1"/>
  <c r="L69" i="5" s="1"/>
  <c r="L70" i="5" s="1"/>
  <c r="L71" i="5" s="1"/>
  <c r="L72" i="5" s="1"/>
  <c r="L73" i="5" s="1"/>
  <c r="L74" i="5" s="1"/>
  <c r="L75" i="5" s="1"/>
  <c r="L76" i="5" s="1"/>
  <c r="L77" i="5" s="1"/>
  <c r="L78" i="5" s="1"/>
  <c r="L79" i="5" s="1"/>
  <c r="L80" i="5" s="1"/>
  <c r="J41" i="5"/>
  <c r="J42" i="5" s="1"/>
  <c r="J43" i="5" s="1"/>
  <c r="J44" i="5" s="1"/>
  <c r="J45" i="5" s="1"/>
  <c r="J46" i="5" s="1"/>
  <c r="J47" i="5" s="1"/>
  <c r="J48" i="5" s="1"/>
  <c r="J49" i="5" s="1"/>
  <c r="J50" i="5" s="1"/>
  <c r="J51" i="5" s="1"/>
  <c r="J52" i="5" s="1"/>
  <c r="J53" i="5" s="1"/>
  <c r="J54" i="5" s="1"/>
  <c r="J55" i="5" s="1"/>
  <c r="J56" i="5" s="1"/>
  <c r="J57" i="5" s="1"/>
  <c r="J58" i="5" s="1"/>
  <c r="J59" i="5" s="1"/>
  <c r="J60" i="5" s="1"/>
  <c r="J61" i="5" s="1"/>
  <c r="J62" i="5" s="1"/>
  <c r="J63" i="5" s="1"/>
  <c r="J64" i="5" s="1"/>
  <c r="J65" i="5" s="1"/>
  <c r="J66" i="5" s="1"/>
  <c r="J67" i="5" s="1"/>
  <c r="J68" i="5" s="1"/>
  <c r="J69" i="5" s="1"/>
  <c r="J70" i="5" s="1"/>
  <c r="J71" i="5" s="1"/>
  <c r="J72" i="5" s="1"/>
  <c r="J73" i="5" s="1"/>
  <c r="J74" i="5" s="1"/>
  <c r="J75" i="5" s="1"/>
  <c r="J76" i="5" s="1"/>
  <c r="J77" i="5" s="1"/>
  <c r="J78" i="5" s="1"/>
  <c r="J79" i="5" s="1"/>
  <c r="J80" i="5" s="1"/>
  <c r="M110" i="6" l="1"/>
  <c r="E49" i="5"/>
  <c r="Q42" i="5"/>
  <c r="G51" i="1"/>
  <c r="S42" i="5"/>
  <c r="U42" i="5"/>
  <c r="AK14" i="5"/>
  <c r="AF15" i="5"/>
  <c r="F52" i="1"/>
  <c r="Q9" i="6"/>
  <c r="M111" i="6" l="1"/>
  <c r="R9" i="6"/>
  <c r="J18" i="1"/>
  <c r="J19" i="1" s="1"/>
  <c r="J20" i="1" s="1"/>
  <c r="J21" i="1" s="1"/>
  <c r="J22" i="1" s="1"/>
  <c r="J23" i="1" s="1"/>
  <c r="J24" i="1" s="1"/>
  <c r="J25" i="1" s="1"/>
  <c r="J26" i="1" s="1"/>
  <c r="J27" i="1" s="1"/>
  <c r="J28" i="1" s="1"/>
  <c r="J29" i="1" s="1"/>
  <c r="J30" i="1" s="1"/>
  <c r="J31" i="1" s="1"/>
  <c r="J32" i="1" s="1"/>
  <c r="J33" i="1" s="1"/>
  <c r="J34" i="1" s="1"/>
  <c r="J35" i="1" s="1"/>
  <c r="J36" i="1" s="1"/>
  <c r="J37" i="1" s="1"/>
  <c r="J38" i="1" s="1"/>
  <c r="J39" i="1" s="1"/>
  <c r="J40" i="1" s="1"/>
  <c r="J41" i="1" s="1"/>
  <c r="J42" i="1" s="1"/>
  <c r="J43" i="1" s="1"/>
  <c r="J44" i="1" s="1"/>
  <c r="J45" i="1" s="1"/>
  <c r="E50" i="5"/>
  <c r="H51" i="1"/>
  <c r="J17" i="6" s="1"/>
  <c r="AK15" i="5"/>
  <c r="AF16" i="5"/>
  <c r="U43" i="5"/>
  <c r="Q43" i="5"/>
  <c r="O43" i="5"/>
  <c r="S43" i="5"/>
  <c r="Q10" i="6"/>
  <c r="G52" i="1"/>
  <c r="K18" i="1" s="1"/>
  <c r="M112" i="6" l="1"/>
  <c r="K17" i="6"/>
  <c r="E51" i="5"/>
  <c r="J46" i="1"/>
  <c r="J47" i="1" s="1"/>
  <c r="H52" i="1"/>
  <c r="J18" i="6" s="1"/>
  <c r="S44" i="5"/>
  <c r="Q44" i="5"/>
  <c r="U44" i="5"/>
  <c r="AF17" i="5"/>
  <c r="AK16" i="5"/>
  <c r="R10" i="6"/>
  <c r="M113" i="6" l="1"/>
  <c r="E52" i="5"/>
  <c r="K19" i="1"/>
  <c r="K20" i="1" s="1"/>
  <c r="K21" i="1" s="1"/>
  <c r="K22" i="1" s="1"/>
  <c r="K23" i="1" s="1"/>
  <c r="K24" i="1" s="1"/>
  <c r="K25" i="1" s="1"/>
  <c r="K26" i="1" s="1"/>
  <c r="K27" i="1" s="1"/>
  <c r="K28" i="1" s="1"/>
  <c r="K29" i="1" s="1"/>
  <c r="K30" i="1" s="1"/>
  <c r="K31" i="1" s="1"/>
  <c r="K32" i="1" s="1"/>
  <c r="K33" i="1" s="1"/>
  <c r="K34" i="1" s="1"/>
  <c r="K35" i="1" s="1"/>
  <c r="K36" i="1" s="1"/>
  <c r="K37" i="1" s="1"/>
  <c r="K38" i="1" s="1"/>
  <c r="K39" i="1" s="1"/>
  <c r="K40" i="1" s="1"/>
  <c r="K41" i="1" s="1"/>
  <c r="K42" i="1" s="1"/>
  <c r="K43" i="1" s="1"/>
  <c r="K44" i="1" s="1"/>
  <c r="K45" i="1" s="1"/>
  <c r="K18" i="6"/>
  <c r="AG18" i="5"/>
  <c r="AK17" i="5"/>
  <c r="O45" i="5"/>
  <c r="U45" i="5"/>
  <c r="S45" i="5"/>
  <c r="Q45" i="5"/>
  <c r="M114" i="6" l="1"/>
  <c r="E53" i="5"/>
  <c r="K46" i="1"/>
  <c r="K47" i="1" s="1"/>
  <c r="U46" i="5"/>
  <c r="S46" i="5"/>
  <c r="Q46" i="5"/>
  <c r="AK18" i="5"/>
  <c r="AG19" i="5"/>
  <c r="M115" i="6" l="1"/>
  <c r="E54" i="5"/>
  <c r="AK19" i="5"/>
  <c r="AG20" i="5"/>
  <c r="Q47" i="5"/>
  <c r="S47" i="5"/>
  <c r="O47" i="5"/>
  <c r="M116" i="6" l="1"/>
  <c r="E55" i="5"/>
  <c r="Q48" i="5"/>
  <c r="S48" i="5"/>
  <c r="U48" i="5"/>
  <c r="AG21" i="5"/>
  <c r="AK20" i="5"/>
  <c r="M117" i="6" l="1"/>
  <c r="E56" i="5"/>
  <c r="AH22" i="5"/>
  <c r="AK21" i="5"/>
  <c r="S49" i="5"/>
  <c r="U49" i="5"/>
  <c r="O49" i="5"/>
  <c r="Q49" i="5"/>
  <c r="D18" i="1"/>
  <c r="M118" i="6" l="1"/>
  <c r="E57" i="5"/>
  <c r="B98" i="1"/>
  <c r="AY18" i="1"/>
  <c r="D19" i="1"/>
  <c r="C93" i="6"/>
  <c r="S50" i="5"/>
  <c r="U50" i="5"/>
  <c r="Q50" i="5"/>
  <c r="AK22" i="5"/>
  <c r="AH23" i="5"/>
  <c r="M119" i="6" l="1"/>
  <c r="E58" i="5"/>
  <c r="B99" i="1"/>
  <c r="AY19" i="1"/>
  <c r="D20" i="1"/>
  <c r="C94" i="6"/>
  <c r="AK23" i="5"/>
  <c r="AH24" i="5"/>
  <c r="U51" i="5"/>
  <c r="Q51" i="5"/>
  <c r="O51" i="5"/>
  <c r="S51" i="5"/>
  <c r="M120" i="6" l="1"/>
  <c r="E59" i="5"/>
  <c r="B100" i="1"/>
  <c r="AY20" i="1"/>
  <c r="D21" i="1"/>
  <c r="C95" i="6"/>
  <c r="S52" i="5"/>
  <c r="Q52" i="5"/>
  <c r="U52" i="5"/>
  <c r="AH25" i="5"/>
  <c r="AK24" i="5"/>
  <c r="M121" i="6" l="1"/>
  <c r="E60" i="5"/>
  <c r="B101" i="1"/>
  <c r="AY21" i="1"/>
  <c r="D22" i="1"/>
  <c r="C96" i="6"/>
  <c r="AH26" i="5"/>
  <c r="AK25" i="5"/>
  <c r="O53" i="5"/>
  <c r="U53" i="5"/>
  <c r="S53" i="5"/>
  <c r="Q53" i="5"/>
  <c r="M122" i="6" l="1"/>
  <c r="E61" i="5"/>
  <c r="B102" i="1"/>
  <c r="AY22" i="1"/>
  <c r="C97" i="6"/>
  <c r="D23" i="1"/>
  <c r="T56" i="1"/>
  <c r="U54" i="5"/>
  <c r="S54" i="5"/>
  <c r="Q54" i="5"/>
  <c r="AK26" i="5"/>
  <c r="AH27" i="5"/>
  <c r="E62" i="5" l="1"/>
  <c r="B103" i="1"/>
  <c r="AY23" i="1"/>
  <c r="D24" i="1"/>
  <c r="C98" i="6"/>
  <c r="AK27" i="5"/>
  <c r="AH28" i="5"/>
  <c r="U55" i="5"/>
  <c r="Q55" i="5"/>
  <c r="S55" i="5"/>
  <c r="O55" i="5"/>
  <c r="E63" i="5" l="1"/>
  <c r="B104" i="1"/>
  <c r="AY24" i="1"/>
  <c r="D25" i="1"/>
  <c r="C99" i="6"/>
  <c r="S56" i="5"/>
  <c r="Q56" i="5"/>
  <c r="U56" i="5"/>
  <c r="AH29" i="5"/>
  <c r="AK28" i="5"/>
  <c r="E64" i="5" l="1"/>
  <c r="B105" i="1"/>
  <c r="AY25" i="1"/>
  <c r="D26" i="1"/>
  <c r="C100" i="6"/>
  <c r="AH30" i="5"/>
  <c r="AH32" i="5"/>
  <c r="AK32" i="5" s="1"/>
  <c r="AK29" i="5"/>
  <c r="AH31" i="5"/>
  <c r="U57" i="5"/>
  <c r="O57" i="5"/>
  <c r="S57" i="5"/>
  <c r="Q57" i="5"/>
  <c r="E65" i="5" l="1"/>
  <c r="B106" i="1"/>
  <c r="AY26" i="1"/>
  <c r="D27" i="1"/>
  <c r="C101" i="6"/>
  <c r="AK31" i="5"/>
  <c r="AH34" i="5"/>
  <c r="AK34" i="5" s="1"/>
  <c r="AH35" i="5"/>
  <c r="U58" i="5"/>
  <c r="S58" i="5"/>
  <c r="Q58" i="5"/>
  <c r="AH33" i="5"/>
  <c r="AK30" i="5"/>
  <c r="E66" i="5" l="1"/>
  <c r="B107" i="1"/>
  <c r="AY27" i="1"/>
  <c r="C102" i="6"/>
  <c r="D28" i="1"/>
  <c r="T57" i="1"/>
  <c r="AK35" i="5"/>
  <c r="AH38" i="5"/>
  <c r="AH37" i="5"/>
  <c r="AK37" i="5" s="1"/>
  <c r="AH36" i="5"/>
  <c r="AK36" i="5" s="1"/>
  <c r="AK33" i="5"/>
  <c r="U59" i="5"/>
  <c r="Q59" i="5"/>
  <c r="O59" i="5"/>
  <c r="S59" i="5"/>
  <c r="E67" i="5" l="1"/>
  <c r="B108" i="1"/>
  <c r="AY28" i="1"/>
  <c r="D29" i="1"/>
  <c r="C103" i="6"/>
  <c r="Q60" i="5"/>
  <c r="S60" i="5"/>
  <c r="U60" i="5"/>
  <c r="AK38" i="5"/>
  <c r="AI42" i="5"/>
  <c r="E68" i="5" l="1"/>
  <c r="B109" i="1"/>
  <c r="AY29" i="1"/>
  <c r="D30" i="1"/>
  <c r="C104" i="6"/>
  <c r="O61" i="5"/>
  <c r="S61" i="5"/>
  <c r="U61" i="5"/>
  <c r="Q61" i="5"/>
  <c r="E69" i="5" l="1"/>
  <c r="B110" i="1"/>
  <c r="AY30" i="1"/>
  <c r="D31" i="1"/>
  <c r="C105" i="6"/>
  <c r="S62" i="5"/>
  <c r="U62" i="5"/>
  <c r="Q62" i="5"/>
  <c r="E70" i="5" l="1"/>
  <c r="B111" i="1"/>
  <c r="AY31" i="1"/>
  <c r="D32" i="1"/>
  <c r="C106" i="6"/>
  <c r="U63" i="5"/>
  <c r="Q63" i="5"/>
  <c r="S63" i="5"/>
  <c r="O63" i="5"/>
  <c r="E71" i="5" l="1"/>
  <c r="B112" i="1"/>
  <c r="AY32" i="1"/>
  <c r="C107" i="6"/>
  <c r="D33" i="1"/>
  <c r="T58" i="1"/>
  <c r="S64" i="5"/>
  <c r="Q64" i="5"/>
  <c r="U64" i="5"/>
  <c r="E72" i="5" l="1"/>
  <c r="B113" i="1"/>
  <c r="AY33" i="1"/>
  <c r="D34" i="1"/>
  <c r="C108" i="6"/>
  <c r="U65" i="5"/>
  <c r="S65" i="5"/>
  <c r="O65" i="5"/>
  <c r="Q65" i="5"/>
  <c r="E73" i="5" l="1"/>
  <c r="B114" i="1"/>
  <c r="AY34" i="1"/>
  <c r="D35" i="1"/>
  <c r="C109" i="6"/>
  <c r="U66" i="5"/>
  <c r="S66" i="5"/>
  <c r="Q66" i="5"/>
  <c r="E74" i="5" l="1"/>
  <c r="B115" i="1"/>
  <c r="AY35" i="1"/>
  <c r="D36" i="1"/>
  <c r="C110" i="6"/>
  <c r="U67" i="5"/>
  <c r="Q67" i="5"/>
  <c r="O67" i="5"/>
  <c r="S67" i="5"/>
  <c r="E75" i="5" l="1"/>
  <c r="B116" i="1"/>
  <c r="AY36" i="1"/>
  <c r="D37" i="1"/>
  <c r="C111" i="6"/>
  <c r="S68" i="5"/>
  <c r="Q68" i="5"/>
  <c r="U68" i="5"/>
  <c r="E76" i="5" l="1"/>
  <c r="B117" i="1"/>
  <c r="AY37" i="1"/>
  <c r="C112" i="6"/>
  <c r="D38" i="1"/>
  <c r="T59" i="1"/>
  <c r="O69" i="5"/>
  <c r="U69" i="5"/>
  <c r="S69" i="5"/>
  <c r="Q69" i="5"/>
  <c r="E77" i="5" l="1"/>
  <c r="B118" i="1"/>
  <c r="AY38" i="1"/>
  <c r="D39" i="1"/>
  <c r="C113" i="6"/>
  <c r="U70" i="5"/>
  <c r="S70" i="5"/>
  <c r="Q70" i="5"/>
  <c r="E78" i="5" l="1"/>
  <c r="B119" i="1"/>
  <c r="AY39" i="1"/>
  <c r="D40" i="1"/>
  <c r="C114" i="6"/>
  <c r="U71" i="5"/>
  <c r="Q71" i="5"/>
  <c r="S71" i="5"/>
  <c r="O71" i="5"/>
  <c r="E79" i="5" l="1"/>
  <c r="B120" i="1"/>
  <c r="AY40" i="1"/>
  <c r="D41" i="1"/>
  <c r="C115" i="6"/>
  <c r="Q72" i="5"/>
  <c r="S72" i="5"/>
  <c r="U72" i="5"/>
  <c r="E80" i="5" l="1"/>
  <c r="B121" i="1"/>
  <c r="AY41" i="1"/>
  <c r="D42" i="1"/>
  <c r="C116" i="6"/>
  <c r="S73" i="5"/>
  <c r="U73" i="5"/>
  <c r="O73" i="5"/>
  <c r="Q73" i="5"/>
  <c r="B122" i="1" l="1"/>
  <c r="AY42" i="1"/>
  <c r="D43" i="1"/>
  <c r="C117" i="6"/>
  <c r="T60" i="1"/>
  <c r="S74" i="5"/>
  <c r="U74" i="5"/>
  <c r="Q74" i="5"/>
  <c r="B123" i="1" l="1"/>
  <c r="AY43" i="1"/>
  <c r="D44" i="1"/>
  <c r="C118" i="6"/>
  <c r="U75" i="5"/>
  <c r="Q75" i="5"/>
  <c r="O75" i="5"/>
  <c r="S75" i="5"/>
  <c r="B124" i="1" l="1"/>
  <c r="AY44" i="1"/>
  <c r="D45" i="1"/>
  <c r="C119" i="6"/>
  <c r="S76" i="5"/>
  <c r="Q76" i="5"/>
  <c r="U76" i="5"/>
  <c r="B125" i="1" l="1"/>
  <c r="AY45" i="1"/>
  <c r="D46" i="1"/>
  <c r="C120" i="6"/>
  <c r="O77" i="5"/>
  <c r="U77" i="5"/>
  <c r="S77" i="5"/>
  <c r="Q77" i="5"/>
  <c r="B126" i="1" l="1"/>
  <c r="AY46" i="1"/>
  <c r="D47" i="1"/>
  <c r="C121" i="6"/>
  <c r="U78" i="5"/>
  <c r="S78" i="5"/>
  <c r="Q78" i="5"/>
  <c r="B127" i="1" l="1"/>
  <c r="AY47" i="1"/>
  <c r="T61" i="1"/>
  <c r="C122" i="6"/>
  <c r="O79" i="5"/>
  <c r="U79" i="5"/>
  <c r="Q79" i="5"/>
  <c r="S79" i="5"/>
  <c r="S80" i="5" l="1"/>
  <c r="Q80" i="5"/>
  <c r="U80" i="5"/>
  <c r="E19" i="1" l="1"/>
  <c r="E20" i="1" s="1"/>
  <c r="E21" i="1" s="1"/>
  <c r="E22" i="1" s="1"/>
  <c r="E23" i="1" s="1"/>
  <c r="E24" i="1" s="1"/>
  <c r="E25" i="1" s="1"/>
  <c r="E26" i="1" s="1"/>
  <c r="E27" i="1" s="1"/>
  <c r="E28" i="1" s="1"/>
  <c r="E29" i="1" s="1"/>
  <c r="E30" i="1" s="1"/>
  <c r="E31" i="1" s="1"/>
  <c r="E32" i="1" s="1"/>
  <c r="E33" i="1" s="1"/>
  <c r="E34" i="1" s="1"/>
  <c r="E35" i="1" s="1"/>
  <c r="E36" i="1" s="1"/>
  <c r="E37" i="1" s="1"/>
  <c r="E38" i="1" s="1"/>
  <c r="E39" i="1" l="1"/>
  <c r="E40" i="1" s="1"/>
  <c r="E41" i="1" s="1"/>
  <c r="E42" i="1" s="1"/>
  <c r="E43" i="1" s="1"/>
  <c r="E44" i="1" s="1"/>
  <c r="E45" i="1" s="1"/>
  <c r="E46" i="1" l="1"/>
  <c r="E47" i="1" s="1"/>
  <c r="C18" i="1" l="1"/>
  <c r="AR18" i="1" l="1"/>
  <c r="T18" i="1"/>
  <c r="G18" i="1"/>
  <c r="BV18" i="1" s="1"/>
  <c r="BW18" i="1" s="1"/>
  <c r="AL18" i="1"/>
  <c r="M18" i="1"/>
  <c r="AF18" i="1"/>
  <c r="AS18" i="1"/>
  <c r="Z18" i="1"/>
  <c r="C133" i="1"/>
  <c r="B93" i="6" s="1"/>
  <c r="E93" i="6"/>
  <c r="C64" i="1"/>
  <c r="L18" i="1"/>
  <c r="C19" i="1"/>
  <c r="AR19" i="1" l="1"/>
  <c r="T19" i="1"/>
  <c r="G19" i="1"/>
  <c r="D134" i="1" s="1"/>
  <c r="D94" i="6" s="1"/>
  <c r="AL19" i="1"/>
  <c r="M19" i="1"/>
  <c r="E94" i="6" s="1"/>
  <c r="AF19" i="1"/>
  <c r="AS19" i="1"/>
  <c r="Z19" i="1"/>
  <c r="D133" i="1"/>
  <c r="D93" i="6" s="1"/>
  <c r="BX18" i="1"/>
  <c r="BY18" i="1" s="1"/>
  <c r="AG18" i="1"/>
  <c r="AH18" i="1" s="1"/>
  <c r="BH18" i="1" s="1"/>
  <c r="U18" i="1"/>
  <c r="V18" i="1" s="1"/>
  <c r="AZ18" i="1" s="1"/>
  <c r="AT18" i="1"/>
  <c r="AU18" i="1" s="1"/>
  <c r="BP18" i="1" s="1"/>
  <c r="AA18" i="1"/>
  <c r="AB18" i="1" s="1"/>
  <c r="BD18" i="1" s="1"/>
  <c r="AM18" i="1"/>
  <c r="AN18" i="1" s="1"/>
  <c r="BL18" i="1" s="1"/>
  <c r="N18" i="1"/>
  <c r="O18" i="1" s="1"/>
  <c r="C134" i="1"/>
  <c r="B94" i="6" s="1"/>
  <c r="L19" i="1"/>
  <c r="C65" i="1"/>
  <c r="C99" i="1" s="1"/>
  <c r="C20" i="1"/>
  <c r="C98" i="1"/>
  <c r="AR20" i="1" l="1"/>
  <c r="T20" i="1"/>
  <c r="G20" i="1"/>
  <c r="D135" i="1" s="1"/>
  <c r="D95" i="6" s="1"/>
  <c r="AL20" i="1"/>
  <c r="M20" i="1"/>
  <c r="E95" i="6" s="1"/>
  <c r="AF20" i="1"/>
  <c r="AS20" i="1"/>
  <c r="Z20" i="1"/>
  <c r="BZ18" i="1"/>
  <c r="I18" i="1" s="1"/>
  <c r="H18" i="1"/>
  <c r="BX19" i="1"/>
  <c r="BY19" i="1" s="1"/>
  <c r="AM19" i="1"/>
  <c r="AA19" i="1"/>
  <c r="U19" i="1"/>
  <c r="V19" i="1" s="1"/>
  <c r="AG19" i="1"/>
  <c r="AT19" i="1"/>
  <c r="N19" i="1"/>
  <c r="BQ18" i="1"/>
  <c r="BI18" i="1"/>
  <c r="BM18" i="1"/>
  <c r="BE18" i="1"/>
  <c r="BA18" i="1"/>
  <c r="C135" i="1"/>
  <c r="B95" i="6" s="1"/>
  <c r="BR18" i="1"/>
  <c r="BF18" i="1"/>
  <c r="BB18" i="1"/>
  <c r="BJ18" i="1"/>
  <c r="BN18" i="1"/>
  <c r="P18" i="1"/>
  <c r="E133" i="1"/>
  <c r="F93" i="6" s="1"/>
  <c r="K98" i="1"/>
  <c r="L98" i="1" s="1"/>
  <c r="C66" i="1"/>
  <c r="L20" i="1"/>
  <c r="C21" i="1"/>
  <c r="AR21" i="1" l="1"/>
  <c r="T21" i="1"/>
  <c r="AF21" i="1"/>
  <c r="G21" i="1"/>
  <c r="AL21" i="1"/>
  <c r="M21" i="1"/>
  <c r="E96" i="6" s="1"/>
  <c r="AS21" i="1"/>
  <c r="Z21" i="1"/>
  <c r="BZ19" i="1"/>
  <c r="BX20" i="1"/>
  <c r="BY20" i="1" s="1"/>
  <c r="U20" i="1"/>
  <c r="BO18" i="1"/>
  <c r="BC18" i="1"/>
  <c r="BS18" i="1"/>
  <c r="AZ19" i="1"/>
  <c r="BG18" i="1"/>
  <c r="BK18" i="1"/>
  <c r="C136" i="1"/>
  <c r="B96" i="6" s="1"/>
  <c r="AU19" i="1"/>
  <c r="AT20" i="1" s="1"/>
  <c r="AB19" i="1"/>
  <c r="AA20" i="1" s="1"/>
  <c r="AN19" i="1"/>
  <c r="AM20" i="1" s="1"/>
  <c r="L21" i="1"/>
  <c r="D136" i="1"/>
  <c r="D96" i="6" s="1"/>
  <c r="C67" i="1"/>
  <c r="C101" i="1" s="1"/>
  <c r="C22" i="1"/>
  <c r="C100" i="1"/>
  <c r="AH19" i="1"/>
  <c r="AG20" i="1" s="1"/>
  <c r="B69" i="6" l="1"/>
  <c r="AR22" i="1"/>
  <c r="T22" i="1"/>
  <c r="M22" i="1"/>
  <c r="G22" i="1"/>
  <c r="D137" i="1" s="1"/>
  <c r="D97" i="6" s="1"/>
  <c r="AL22" i="1"/>
  <c r="AF22" i="1"/>
  <c r="AS22" i="1"/>
  <c r="Z22" i="1"/>
  <c r="BZ20" i="1"/>
  <c r="BX21" i="1"/>
  <c r="BY21" i="1" s="1"/>
  <c r="BL19" i="1"/>
  <c r="BN19" i="1" s="1"/>
  <c r="BP19" i="1"/>
  <c r="BR19" i="1" s="1"/>
  <c r="BB19" i="1"/>
  <c r="BH19" i="1"/>
  <c r="BD19" i="1"/>
  <c r="C137" i="1"/>
  <c r="B97" i="6" s="1"/>
  <c r="V20" i="1"/>
  <c r="U21" i="1" s="1"/>
  <c r="U56" i="1"/>
  <c r="C68" i="1"/>
  <c r="L22" i="1"/>
  <c r="E97" i="6"/>
  <c r="C23" i="1"/>
  <c r="AR23" i="1" l="1"/>
  <c r="Z23" i="1"/>
  <c r="T23" i="1"/>
  <c r="M23" i="1"/>
  <c r="G23" i="1"/>
  <c r="D138" i="1" s="1"/>
  <c r="D98" i="6" s="1"/>
  <c r="AL23" i="1"/>
  <c r="AF23" i="1"/>
  <c r="AS23" i="1"/>
  <c r="BZ21" i="1"/>
  <c r="BX22" i="1"/>
  <c r="BY22" i="1" s="1"/>
  <c r="BJ19" i="1"/>
  <c r="BF19" i="1"/>
  <c r="AZ20" i="1"/>
  <c r="C138" i="1"/>
  <c r="B98" i="6" s="1"/>
  <c r="AH20" i="1"/>
  <c r="AG21" i="1" s="1"/>
  <c r="AN20" i="1"/>
  <c r="AM21" i="1" s="1"/>
  <c r="AB20" i="1"/>
  <c r="AA21" i="1" s="1"/>
  <c r="C69" i="1"/>
  <c r="C103" i="1" s="1"/>
  <c r="L23" i="1"/>
  <c r="E98" i="6"/>
  <c r="C24" i="1"/>
  <c r="AU20" i="1"/>
  <c r="AT21" i="1" s="1"/>
  <c r="C102" i="1"/>
  <c r="T24" i="1" l="1"/>
  <c r="AR24" i="1"/>
  <c r="M24" i="1"/>
  <c r="G24" i="1"/>
  <c r="D139" i="1" s="1"/>
  <c r="D99" i="6" s="1"/>
  <c r="Z24" i="1"/>
  <c r="AL24" i="1"/>
  <c r="AF24" i="1"/>
  <c r="AS24" i="1"/>
  <c r="BZ22" i="1"/>
  <c r="BX23" i="1"/>
  <c r="BY23" i="1" s="1"/>
  <c r="BP20" i="1"/>
  <c r="BR20" i="1" s="1"/>
  <c r="BL20" i="1"/>
  <c r="BN20" i="1" s="1"/>
  <c r="BB20" i="1"/>
  <c r="BH20" i="1"/>
  <c r="BJ20" i="1" s="1"/>
  <c r="BD20" i="1"/>
  <c r="C139" i="1"/>
  <c r="B99" i="6" s="1"/>
  <c r="V21" i="1"/>
  <c r="U22" i="1" s="1"/>
  <c r="L24" i="1"/>
  <c r="E99" i="6"/>
  <c r="C70" i="1"/>
  <c r="C25" i="1"/>
  <c r="M25" i="1" l="1"/>
  <c r="AR25" i="1"/>
  <c r="Z25" i="1"/>
  <c r="T25" i="1"/>
  <c r="G25" i="1"/>
  <c r="D140" i="1" s="1"/>
  <c r="D100" i="6" s="1"/>
  <c r="AS25" i="1"/>
  <c r="AF25" i="1"/>
  <c r="AL25" i="1"/>
  <c r="BZ23" i="1"/>
  <c r="BX24" i="1"/>
  <c r="BY24" i="1" s="1"/>
  <c r="BF20" i="1"/>
  <c r="AZ21" i="1"/>
  <c r="C140" i="1"/>
  <c r="B100" i="6" s="1"/>
  <c r="AU21" i="1"/>
  <c r="AT22" i="1" s="1"/>
  <c r="AH21" i="1"/>
  <c r="AG22" i="1" s="1"/>
  <c r="AN21" i="1"/>
  <c r="AM22" i="1" s="1"/>
  <c r="AB21" i="1"/>
  <c r="AA22" i="1" s="1"/>
  <c r="L25" i="1"/>
  <c r="E100" i="6"/>
  <c r="C71" i="1"/>
  <c r="C105" i="1" s="1"/>
  <c r="C26" i="1"/>
  <c r="C104" i="1"/>
  <c r="M26" i="1" l="1"/>
  <c r="AR26" i="1"/>
  <c r="T26" i="1"/>
  <c r="G26" i="1"/>
  <c r="D141" i="1" s="1"/>
  <c r="D101" i="6" s="1"/>
  <c r="AL26" i="1"/>
  <c r="AS26" i="1"/>
  <c r="Z26" i="1"/>
  <c r="AF26" i="1"/>
  <c r="BZ24" i="1"/>
  <c r="BX25" i="1"/>
  <c r="BY25" i="1" s="1"/>
  <c r="BP21" i="1"/>
  <c r="BR21" i="1" s="1"/>
  <c r="BL21" i="1"/>
  <c r="BN21" i="1" s="1"/>
  <c r="BB21" i="1"/>
  <c r="BH21" i="1"/>
  <c r="BD21" i="1"/>
  <c r="C141" i="1"/>
  <c r="B101" i="6" s="1"/>
  <c r="AN22" i="1"/>
  <c r="AM23" i="1" s="1"/>
  <c r="V22" i="1"/>
  <c r="U23" i="1" s="1"/>
  <c r="L26" i="1"/>
  <c r="E101" i="6"/>
  <c r="C72" i="1"/>
  <c r="C27" i="1"/>
  <c r="B71" i="6" l="1"/>
  <c r="T27" i="1"/>
  <c r="M27" i="1"/>
  <c r="E102" i="6" s="1"/>
  <c r="AR27" i="1"/>
  <c r="Z27" i="1"/>
  <c r="G27" i="1"/>
  <c r="D142" i="1" s="1"/>
  <c r="D102" i="6" s="1"/>
  <c r="AL27" i="1"/>
  <c r="AF27" i="1"/>
  <c r="AS27" i="1"/>
  <c r="BZ25" i="1"/>
  <c r="BX26" i="1"/>
  <c r="BY26" i="1" s="1"/>
  <c r="BL22" i="1"/>
  <c r="BN22" i="1" s="1"/>
  <c r="BJ21" i="1"/>
  <c r="BF21" i="1"/>
  <c r="AZ22" i="1"/>
  <c r="C142" i="1"/>
  <c r="B102" i="6" s="1"/>
  <c r="AB22" i="1"/>
  <c r="AA23" i="1" s="1"/>
  <c r="U57" i="1"/>
  <c r="C73" i="1"/>
  <c r="C107" i="1" s="1"/>
  <c r="C28" i="1"/>
  <c r="L27" i="1"/>
  <c r="AH22" i="1"/>
  <c r="AG23" i="1" s="1"/>
  <c r="AU22" i="1"/>
  <c r="AT23" i="1" s="1"/>
  <c r="C106" i="1"/>
  <c r="T28" i="1" l="1"/>
  <c r="M28" i="1"/>
  <c r="E103" i="6" s="1"/>
  <c r="AR28" i="1"/>
  <c r="AS28" i="1"/>
  <c r="G28" i="1"/>
  <c r="Z28" i="1"/>
  <c r="AL28" i="1"/>
  <c r="AF28" i="1"/>
  <c r="BZ26" i="1"/>
  <c r="BX27" i="1"/>
  <c r="BY27" i="1" s="1"/>
  <c r="BP22" i="1"/>
  <c r="BR22" i="1" s="1"/>
  <c r="BB22" i="1"/>
  <c r="BD22" i="1"/>
  <c r="BH22" i="1"/>
  <c r="C143" i="1"/>
  <c r="B103" i="6" s="1"/>
  <c r="V23" i="1"/>
  <c r="U24" i="1" s="1"/>
  <c r="L28" i="1"/>
  <c r="D143" i="1"/>
  <c r="D103" i="6" s="1"/>
  <c r="C74" i="1"/>
  <c r="C108" i="1" s="1"/>
  <c r="C29" i="1"/>
  <c r="Z29" i="1" l="1"/>
  <c r="M29" i="1"/>
  <c r="T29" i="1"/>
  <c r="AR29" i="1"/>
  <c r="G29" i="1"/>
  <c r="D144" i="1" s="1"/>
  <c r="D104" i="6" s="1"/>
  <c r="AS29" i="1"/>
  <c r="AL29" i="1"/>
  <c r="AF29" i="1"/>
  <c r="BZ27" i="1"/>
  <c r="BX28" i="1"/>
  <c r="BY28" i="1" s="1"/>
  <c r="AZ23" i="1"/>
  <c r="BJ22" i="1"/>
  <c r="BF22" i="1"/>
  <c r="C144" i="1"/>
  <c r="B104" i="6" s="1"/>
  <c r="AU23" i="1"/>
  <c r="AT24" i="1" s="1"/>
  <c r="E104" i="6"/>
  <c r="L29" i="1"/>
  <c r="C75" i="1"/>
  <c r="C109" i="1" s="1"/>
  <c r="C30" i="1"/>
  <c r="AN23" i="1"/>
  <c r="AM24" i="1" s="1"/>
  <c r="AH23" i="1"/>
  <c r="AG24" i="1" s="1"/>
  <c r="AB23" i="1"/>
  <c r="AA24" i="1" s="1"/>
  <c r="AR30" i="1" l="1"/>
  <c r="M30" i="1"/>
  <c r="E105" i="6" s="1"/>
  <c r="T30" i="1"/>
  <c r="G30" i="1"/>
  <c r="D145" i="1" s="1"/>
  <c r="D105" i="6" s="1"/>
  <c r="AL30" i="1"/>
  <c r="AF30" i="1"/>
  <c r="Z30" i="1"/>
  <c r="AS30" i="1"/>
  <c r="BZ28" i="1"/>
  <c r="BX29" i="1"/>
  <c r="BY29" i="1" s="1"/>
  <c r="BL23" i="1"/>
  <c r="BD23" i="1"/>
  <c r="BF23" i="1" s="1"/>
  <c r="BP23" i="1"/>
  <c r="BH23" i="1"/>
  <c r="C145" i="1"/>
  <c r="B105" i="6" s="1"/>
  <c r="BB23" i="1"/>
  <c r="V24" i="1"/>
  <c r="U25" i="1" s="1"/>
  <c r="C31" i="1"/>
  <c r="C76" i="1"/>
  <c r="C110" i="1" s="1"/>
  <c r="L30" i="1"/>
  <c r="AR31" i="1" l="1"/>
  <c r="Z31" i="1"/>
  <c r="T31" i="1"/>
  <c r="M31" i="1"/>
  <c r="E106" i="6" s="1"/>
  <c r="G31" i="1"/>
  <c r="D146" i="1" s="1"/>
  <c r="D106" i="6" s="1"/>
  <c r="AF31" i="1"/>
  <c r="AS31" i="1"/>
  <c r="AL31" i="1"/>
  <c r="BZ29" i="1"/>
  <c r="BX30" i="1"/>
  <c r="BY30" i="1" s="1"/>
  <c r="BJ23" i="1"/>
  <c r="AZ24" i="1"/>
  <c r="C146" i="1"/>
  <c r="B106" i="6" s="1"/>
  <c r="AN24" i="1"/>
  <c r="AM25" i="1" s="1"/>
  <c r="BN23" i="1"/>
  <c r="BR23" i="1"/>
  <c r="AB24" i="1"/>
  <c r="AA25" i="1" s="1"/>
  <c r="AH24" i="1"/>
  <c r="AG25" i="1" s="1"/>
  <c r="AU24" i="1"/>
  <c r="AT25" i="1" s="1"/>
  <c r="C32" i="1"/>
  <c r="L31" i="1"/>
  <c r="C77" i="1"/>
  <c r="C111" i="1" s="1"/>
  <c r="B73" i="6" l="1"/>
  <c r="T32" i="1"/>
  <c r="AR32" i="1"/>
  <c r="M32" i="1"/>
  <c r="E107" i="6" s="1"/>
  <c r="G32" i="1"/>
  <c r="D147" i="1" s="1"/>
  <c r="D107" i="6" s="1"/>
  <c r="AF32" i="1"/>
  <c r="AL32" i="1"/>
  <c r="AS32" i="1"/>
  <c r="Z32" i="1"/>
  <c r="BZ30" i="1"/>
  <c r="BX31" i="1"/>
  <c r="BY31" i="1" s="1"/>
  <c r="BP24" i="1"/>
  <c r="BR24" i="1" s="1"/>
  <c r="BD24" i="1"/>
  <c r="BF24" i="1" s="1"/>
  <c r="BB24" i="1"/>
  <c r="BH24" i="1"/>
  <c r="BL24" i="1"/>
  <c r="C147" i="1"/>
  <c r="B107" i="6" s="1"/>
  <c r="V25" i="1"/>
  <c r="U26" i="1" s="1"/>
  <c r="U58" i="1"/>
  <c r="L32" i="1"/>
  <c r="C78" i="1"/>
  <c r="C112" i="1" s="1"/>
  <c r="C33" i="1"/>
  <c r="M33" i="1" l="1"/>
  <c r="AR33" i="1"/>
  <c r="Z33" i="1"/>
  <c r="T33" i="1"/>
  <c r="G33" i="1"/>
  <c r="D148" i="1" s="1"/>
  <c r="D108" i="6" s="1"/>
  <c r="AF33" i="1"/>
  <c r="AL33" i="1"/>
  <c r="AS33" i="1"/>
  <c r="BZ31" i="1"/>
  <c r="BX32" i="1"/>
  <c r="BY32" i="1" s="1"/>
  <c r="BJ24" i="1"/>
  <c r="BN24" i="1"/>
  <c r="AZ25" i="1"/>
  <c r="C148" i="1"/>
  <c r="B108" i="6" s="1"/>
  <c r="AB25" i="1"/>
  <c r="AA26" i="1" s="1"/>
  <c r="AU25" i="1"/>
  <c r="AT26" i="1" s="1"/>
  <c r="AN25" i="1"/>
  <c r="AM26" i="1" s="1"/>
  <c r="AH25" i="1"/>
  <c r="AG26" i="1" s="1"/>
  <c r="C79" i="1"/>
  <c r="C113" i="1" s="1"/>
  <c r="E108" i="6"/>
  <c r="L33" i="1"/>
  <c r="C34" i="1"/>
  <c r="M34" i="1" l="1"/>
  <c r="AR34" i="1"/>
  <c r="T34" i="1"/>
  <c r="G34" i="1"/>
  <c r="D149" i="1" s="1"/>
  <c r="D109" i="6" s="1"/>
  <c r="AF34" i="1"/>
  <c r="Z34" i="1"/>
  <c r="AL34" i="1"/>
  <c r="AS34" i="1"/>
  <c r="BZ32" i="1"/>
  <c r="BX33" i="1"/>
  <c r="BY33" i="1" s="1"/>
  <c r="BL25" i="1"/>
  <c r="BN25" i="1" s="1"/>
  <c r="BP25" i="1"/>
  <c r="BR25" i="1" s="1"/>
  <c r="BB25" i="1"/>
  <c r="BD25" i="1"/>
  <c r="BH25" i="1"/>
  <c r="BJ25" i="1" s="1"/>
  <c r="C149" i="1"/>
  <c r="B109" i="6" s="1"/>
  <c r="V26" i="1"/>
  <c r="U27" i="1" s="1"/>
  <c r="L34" i="1"/>
  <c r="C35" i="1"/>
  <c r="E109" i="6"/>
  <c r="C80" i="1"/>
  <c r="C114" i="1" s="1"/>
  <c r="T35" i="1" l="1"/>
  <c r="M35" i="1"/>
  <c r="E110" i="6" s="1"/>
  <c r="AR35" i="1"/>
  <c r="Z35" i="1"/>
  <c r="G35" i="1"/>
  <c r="D150" i="1" s="1"/>
  <c r="D110" i="6" s="1"/>
  <c r="AL35" i="1"/>
  <c r="AF35" i="1"/>
  <c r="AS35" i="1"/>
  <c r="BZ33" i="1"/>
  <c r="BX34" i="1"/>
  <c r="BY34" i="1" s="1"/>
  <c r="BF25" i="1"/>
  <c r="AZ26" i="1"/>
  <c r="C150" i="1"/>
  <c r="B110" i="6" s="1"/>
  <c r="AN26" i="1"/>
  <c r="AM27" i="1" s="1"/>
  <c r="AH26" i="1"/>
  <c r="AG27" i="1" s="1"/>
  <c r="L35" i="1"/>
  <c r="C36" i="1"/>
  <c r="C81" i="1"/>
  <c r="C115" i="1" s="1"/>
  <c r="AU26" i="1"/>
  <c r="AT27" i="1" s="1"/>
  <c r="AB26" i="1"/>
  <c r="AA27" i="1" s="1"/>
  <c r="T36" i="1" l="1"/>
  <c r="M36" i="1"/>
  <c r="E111" i="6" s="1"/>
  <c r="AR36" i="1"/>
  <c r="G36" i="1"/>
  <c r="D151" i="1" s="1"/>
  <c r="D111" i="6" s="1"/>
  <c r="Z36" i="1"/>
  <c r="AL36" i="1"/>
  <c r="AS36" i="1"/>
  <c r="AF36" i="1"/>
  <c r="BZ34" i="1"/>
  <c r="BX35" i="1"/>
  <c r="BY35" i="1" s="1"/>
  <c r="BP26" i="1"/>
  <c r="BR26" i="1" s="1"/>
  <c r="BL26" i="1"/>
  <c r="BN26" i="1" s="1"/>
  <c r="BB26" i="1"/>
  <c r="BH26" i="1"/>
  <c r="BJ26" i="1" s="1"/>
  <c r="BD26" i="1"/>
  <c r="C151" i="1"/>
  <c r="B111" i="6" s="1"/>
  <c r="V27" i="1"/>
  <c r="U28" i="1" s="1"/>
  <c r="L36" i="1"/>
  <c r="C82" i="1"/>
  <c r="C116" i="1" s="1"/>
  <c r="C37" i="1"/>
  <c r="B75" i="6" l="1"/>
  <c r="Z37" i="1"/>
  <c r="M37" i="1"/>
  <c r="E112" i="6" s="1"/>
  <c r="T37" i="1"/>
  <c r="AR37" i="1"/>
  <c r="G37" i="1"/>
  <c r="D152" i="1" s="1"/>
  <c r="D112" i="6" s="1"/>
  <c r="AL37" i="1"/>
  <c r="AF37" i="1"/>
  <c r="AS37" i="1"/>
  <c r="BZ35" i="1"/>
  <c r="BX36" i="1"/>
  <c r="BY36" i="1" s="1"/>
  <c r="BF26" i="1"/>
  <c r="AZ27" i="1"/>
  <c r="C152" i="1"/>
  <c r="B112" i="6" s="1"/>
  <c r="AB27" i="1"/>
  <c r="AA28" i="1" s="1"/>
  <c r="AU27" i="1"/>
  <c r="AT28" i="1" s="1"/>
  <c r="AH27" i="1"/>
  <c r="AG28" i="1" s="1"/>
  <c r="AN27" i="1"/>
  <c r="AM28" i="1" s="1"/>
  <c r="L37" i="1"/>
  <c r="U59" i="1"/>
  <c r="C83" i="1"/>
  <c r="C117" i="1" s="1"/>
  <c r="C38" i="1"/>
  <c r="AR38" i="1" l="1"/>
  <c r="T38" i="1"/>
  <c r="M38" i="1"/>
  <c r="E113" i="6" s="1"/>
  <c r="G38" i="1"/>
  <c r="D153" i="1" s="1"/>
  <c r="D113" i="6" s="1"/>
  <c r="Z38" i="1"/>
  <c r="AL38" i="1"/>
  <c r="AS38" i="1"/>
  <c r="AF38" i="1"/>
  <c r="BZ36" i="1"/>
  <c r="BX37" i="1"/>
  <c r="BY37" i="1" s="1"/>
  <c r="BL27" i="1"/>
  <c r="BN27" i="1" s="1"/>
  <c r="BP27" i="1"/>
  <c r="BR27" i="1" s="1"/>
  <c r="BB27" i="1"/>
  <c r="BD27" i="1"/>
  <c r="AH28" i="1"/>
  <c r="AG29" i="1" s="1"/>
  <c r="BH27" i="1"/>
  <c r="C153" i="1"/>
  <c r="B113" i="6" s="1"/>
  <c r="V28" i="1"/>
  <c r="U29" i="1" s="1"/>
  <c r="C84" i="1"/>
  <c r="C118" i="1" s="1"/>
  <c r="C39" i="1"/>
  <c r="L38" i="1"/>
  <c r="AR39" i="1" l="1"/>
  <c r="Z39" i="1"/>
  <c r="T39" i="1"/>
  <c r="M39" i="1"/>
  <c r="E114" i="6" s="1"/>
  <c r="G39" i="1"/>
  <c r="D154" i="1" s="1"/>
  <c r="D114" i="6" s="1"/>
  <c r="AL39" i="1"/>
  <c r="AF39" i="1"/>
  <c r="AS39" i="1"/>
  <c r="BZ37" i="1"/>
  <c r="BX38" i="1"/>
  <c r="BY38" i="1" s="1"/>
  <c r="BJ27" i="1"/>
  <c r="BF27" i="1"/>
  <c r="BH28" i="1"/>
  <c r="AZ28" i="1"/>
  <c r="C154" i="1"/>
  <c r="B114" i="6" s="1"/>
  <c r="AN28" i="1"/>
  <c r="AM29" i="1" s="1"/>
  <c r="C85" i="1"/>
  <c r="C119" i="1" s="1"/>
  <c r="L39" i="1"/>
  <c r="C40" i="1"/>
  <c r="AU28" i="1"/>
  <c r="AT29" i="1" s="1"/>
  <c r="AB28" i="1"/>
  <c r="AA29" i="1" s="1"/>
  <c r="T40" i="1" l="1"/>
  <c r="AR40" i="1"/>
  <c r="M40" i="1"/>
  <c r="E115" i="6" s="1"/>
  <c r="G40" i="1"/>
  <c r="D155" i="1" s="1"/>
  <c r="D115" i="6" s="1"/>
  <c r="AL40" i="1"/>
  <c r="AS40" i="1"/>
  <c r="Z40" i="1"/>
  <c r="AF40" i="1"/>
  <c r="BZ38" i="1"/>
  <c r="BX39" i="1"/>
  <c r="BY39" i="1" s="1"/>
  <c r="BP28" i="1"/>
  <c r="BR28" i="1" s="1"/>
  <c r="BL28" i="1"/>
  <c r="BN28" i="1" s="1"/>
  <c r="BJ28" i="1"/>
  <c r="BB28" i="1"/>
  <c r="BD28" i="1"/>
  <c r="C155" i="1"/>
  <c r="B115" i="6" s="1"/>
  <c r="C86" i="1"/>
  <c r="C120" i="1" s="1"/>
  <c r="C41" i="1"/>
  <c r="L40" i="1"/>
  <c r="V29" i="1"/>
  <c r="U30" i="1" s="1"/>
  <c r="M41" i="1" l="1"/>
  <c r="AR41" i="1"/>
  <c r="Z41" i="1"/>
  <c r="T41" i="1"/>
  <c r="G41" i="1"/>
  <c r="D156" i="1" s="1"/>
  <c r="D116" i="6" s="1"/>
  <c r="AF41" i="1"/>
  <c r="AS41" i="1"/>
  <c r="AL41" i="1"/>
  <c r="BZ39" i="1"/>
  <c r="BX40" i="1"/>
  <c r="BY40" i="1" s="1"/>
  <c r="BF28" i="1"/>
  <c r="AZ29" i="1"/>
  <c r="C156" i="1"/>
  <c r="B116" i="6" s="1"/>
  <c r="AB29" i="1"/>
  <c r="AA30" i="1" s="1"/>
  <c r="AH29" i="1"/>
  <c r="AG30" i="1" s="1"/>
  <c r="AN29" i="1"/>
  <c r="AM30" i="1" s="1"/>
  <c r="L41" i="1"/>
  <c r="B77" i="6" s="1"/>
  <c r="C87" i="1"/>
  <c r="C121" i="1" s="1"/>
  <c r="E116" i="6"/>
  <c r="C42" i="1"/>
  <c r="AU29" i="1"/>
  <c r="AT30" i="1" s="1"/>
  <c r="M42" i="1" l="1"/>
  <c r="AR42" i="1"/>
  <c r="T42" i="1"/>
  <c r="G42" i="1"/>
  <c r="D157" i="1" s="1"/>
  <c r="D117" i="6" s="1"/>
  <c r="AS42" i="1"/>
  <c r="AL42" i="1"/>
  <c r="AF42" i="1"/>
  <c r="Z42" i="1"/>
  <c r="BZ40" i="1"/>
  <c r="BX41" i="1"/>
  <c r="BY41" i="1" s="1"/>
  <c r="BP29" i="1"/>
  <c r="BR29" i="1" s="1"/>
  <c r="BL29" i="1"/>
  <c r="BN29" i="1" s="1"/>
  <c r="BD29" i="1"/>
  <c r="BF29" i="1" s="1"/>
  <c r="BB29" i="1"/>
  <c r="BH29" i="1"/>
  <c r="C157" i="1"/>
  <c r="B117" i="6" s="1"/>
  <c r="C88" i="1"/>
  <c r="C122" i="1" s="1"/>
  <c r="C43" i="1"/>
  <c r="U60" i="1"/>
  <c r="L42" i="1"/>
  <c r="E117" i="6"/>
  <c r="V30" i="1"/>
  <c r="U31" i="1" s="1"/>
  <c r="T43" i="1" l="1"/>
  <c r="M43" i="1"/>
  <c r="E118" i="6" s="1"/>
  <c r="AR43" i="1"/>
  <c r="Z43" i="1"/>
  <c r="G43" i="1"/>
  <c r="AL43" i="1"/>
  <c r="AS43" i="1"/>
  <c r="AF43" i="1"/>
  <c r="BZ41" i="1"/>
  <c r="BX42" i="1"/>
  <c r="BY42" i="1" s="1"/>
  <c r="AH30" i="1"/>
  <c r="AG31" i="1" s="1"/>
  <c r="BJ29" i="1"/>
  <c r="AZ30" i="1"/>
  <c r="C158" i="1"/>
  <c r="B118" i="6" s="1"/>
  <c r="AB30" i="1"/>
  <c r="AA31" i="1" s="1"/>
  <c r="AU30" i="1"/>
  <c r="AT31" i="1" s="1"/>
  <c r="AN30" i="1"/>
  <c r="AM31" i="1" s="1"/>
  <c r="C44" i="1"/>
  <c r="D158" i="1"/>
  <c r="D118" i="6" s="1"/>
  <c r="C89" i="1"/>
  <c r="C123" i="1" s="1"/>
  <c r="L43" i="1"/>
  <c r="T44" i="1" l="1"/>
  <c r="M44" i="1"/>
  <c r="AR44" i="1"/>
  <c r="G44" i="1"/>
  <c r="D159" i="1" s="1"/>
  <c r="D119" i="6" s="1"/>
  <c r="AL44" i="1"/>
  <c r="AS44" i="1"/>
  <c r="Z44" i="1"/>
  <c r="AF44" i="1"/>
  <c r="BZ42" i="1"/>
  <c r="BX43" i="1"/>
  <c r="BY43" i="1" s="1"/>
  <c r="AH31" i="1"/>
  <c r="AG32" i="1" s="1"/>
  <c r="BL30" i="1"/>
  <c r="BN30" i="1" s="1"/>
  <c r="BP30" i="1"/>
  <c r="BR30" i="1" s="1"/>
  <c r="BH30" i="1"/>
  <c r="BJ30" i="1" s="1"/>
  <c r="BB30" i="1"/>
  <c r="BD30" i="1"/>
  <c r="C159" i="1"/>
  <c r="B119" i="6" s="1"/>
  <c r="AN31" i="1"/>
  <c r="AM32" i="1" s="1"/>
  <c r="V31" i="1"/>
  <c r="U32" i="1" s="1"/>
  <c r="E119" i="6"/>
  <c r="C45" i="1"/>
  <c r="C90" i="1"/>
  <c r="C124" i="1" s="1"/>
  <c r="L44" i="1"/>
  <c r="Z45" i="1" l="1"/>
  <c r="T45" i="1"/>
  <c r="M45" i="1"/>
  <c r="E120" i="6" s="1"/>
  <c r="AR45" i="1"/>
  <c r="G45" i="1"/>
  <c r="D160" i="1" s="1"/>
  <c r="D120" i="6" s="1"/>
  <c r="AL45" i="1"/>
  <c r="AS45" i="1"/>
  <c r="AF45" i="1"/>
  <c r="BZ43" i="1"/>
  <c r="BX44" i="1"/>
  <c r="BY44" i="1" s="1"/>
  <c r="BL31" i="1"/>
  <c r="BN31" i="1" s="1"/>
  <c r="BF30" i="1"/>
  <c r="BH31" i="1"/>
  <c r="AZ31" i="1"/>
  <c r="BB31" i="1" s="1"/>
  <c r="AB31" i="1"/>
  <c r="AA32" i="1" s="1"/>
  <c r="C160" i="1"/>
  <c r="B120" i="6" s="1"/>
  <c r="AU31" i="1"/>
  <c r="AT32" i="1" s="1"/>
  <c r="L45" i="1"/>
  <c r="C91" i="1"/>
  <c r="C125" i="1" s="1"/>
  <c r="C46" i="1"/>
  <c r="AR46" i="1" l="1"/>
  <c r="T46" i="1"/>
  <c r="M46" i="1"/>
  <c r="G46" i="1"/>
  <c r="D161" i="1" s="1"/>
  <c r="D121" i="6" s="1"/>
  <c r="Z46" i="1"/>
  <c r="AL46" i="1"/>
  <c r="AS46" i="1"/>
  <c r="AF46" i="1"/>
  <c r="BZ44" i="1"/>
  <c r="BX45" i="1"/>
  <c r="BY45" i="1" s="1"/>
  <c r="BP31" i="1"/>
  <c r="BR31" i="1" s="1"/>
  <c r="BJ31" i="1"/>
  <c r="BD31" i="1"/>
  <c r="C161" i="1"/>
  <c r="B121" i="6" s="1"/>
  <c r="V32" i="1"/>
  <c r="U33" i="1" s="1"/>
  <c r="AH32" i="1"/>
  <c r="AG33" i="1" s="1"/>
  <c r="L46" i="1"/>
  <c r="B79" i="6" s="1"/>
  <c r="C92" i="1"/>
  <c r="C126" i="1" s="1"/>
  <c r="C47" i="1"/>
  <c r="E121" i="6"/>
  <c r="AR47" i="1" l="1"/>
  <c r="T47" i="1"/>
  <c r="Z47" i="1"/>
  <c r="M47" i="1"/>
  <c r="E122" i="6" s="1"/>
  <c r="G47" i="1"/>
  <c r="AL47" i="1"/>
  <c r="AS47" i="1"/>
  <c r="AF47" i="1"/>
  <c r="BZ45" i="1"/>
  <c r="BX46" i="1"/>
  <c r="BY46" i="1" s="1"/>
  <c r="BF31" i="1"/>
  <c r="BH32" i="1"/>
  <c r="AZ32" i="1"/>
  <c r="AB32" i="1"/>
  <c r="AA33" i="1" s="1"/>
  <c r="C162" i="1"/>
  <c r="B122" i="6" s="1"/>
  <c r="AU32" i="1"/>
  <c r="AT33" i="1" s="1"/>
  <c r="D162" i="1"/>
  <c r="D122" i="6" s="1"/>
  <c r="C93" i="1"/>
  <c r="C127" i="1" s="1"/>
  <c r="L47" i="1"/>
  <c r="U61" i="1"/>
  <c r="AN32" i="1"/>
  <c r="AM33" i="1" s="1"/>
  <c r="W115" i="6" l="1"/>
  <c r="U114" i="6"/>
  <c r="S118" i="6"/>
  <c r="W118" i="6"/>
  <c r="W117" i="6"/>
  <c r="W116" i="6"/>
  <c r="S116" i="6"/>
  <c r="S114" i="6"/>
  <c r="U115" i="6"/>
  <c r="Q113" i="6"/>
  <c r="Q115" i="6"/>
  <c r="N108" i="6"/>
  <c r="N119" i="6"/>
  <c r="N122" i="6"/>
  <c r="N105" i="6"/>
  <c r="N95" i="6"/>
  <c r="N117" i="6"/>
  <c r="N111" i="6"/>
  <c r="N97" i="6"/>
  <c r="N118" i="6"/>
  <c r="N107" i="6"/>
  <c r="N101" i="6"/>
  <c r="N121" i="6"/>
  <c r="N113" i="6"/>
  <c r="N115" i="6"/>
  <c r="N100" i="6"/>
  <c r="N102" i="6"/>
  <c r="N112" i="6"/>
  <c r="N114" i="6"/>
  <c r="N96" i="6"/>
  <c r="N98" i="6"/>
  <c r="N116" i="6"/>
  <c r="N110" i="6"/>
  <c r="N99" i="6"/>
  <c r="N120" i="6"/>
  <c r="N93" i="6"/>
  <c r="N94" i="6"/>
  <c r="N104" i="6"/>
  <c r="N106" i="6"/>
  <c r="N109" i="6"/>
  <c r="N103" i="6"/>
  <c r="Q117" i="6"/>
  <c r="U116" i="6"/>
  <c r="U118" i="6"/>
  <c r="U117" i="6"/>
  <c r="U113" i="6"/>
  <c r="W114" i="6"/>
  <c r="S117" i="6"/>
  <c r="S115" i="6"/>
  <c r="BZ46" i="1"/>
  <c r="BX47" i="1"/>
  <c r="BY47" i="1" s="1"/>
  <c r="BL32" i="1"/>
  <c r="BN32" i="1" s="1"/>
  <c r="BP32" i="1"/>
  <c r="BR32" i="1" s="1"/>
  <c r="AB33" i="1"/>
  <c r="AA34" i="1" s="1"/>
  <c r="BJ32" i="1"/>
  <c r="BB32" i="1"/>
  <c r="BD32" i="1"/>
  <c r="AN33" i="1"/>
  <c r="AM34" i="1" s="1"/>
  <c r="V33" i="1"/>
  <c r="U34" i="1" s="1"/>
  <c r="BZ47" i="1" l="1"/>
  <c r="BL33" i="1"/>
  <c r="BN33" i="1" s="1"/>
  <c r="BF32" i="1"/>
  <c r="AZ33" i="1"/>
  <c r="BD33" i="1"/>
  <c r="AU33" i="1"/>
  <c r="AT34" i="1" s="1"/>
  <c r="AH33" i="1"/>
  <c r="AG34" i="1" s="1"/>
  <c r="BP33" i="1" l="1"/>
  <c r="BR33" i="1" s="1"/>
  <c r="BB33" i="1"/>
  <c r="BF33" i="1"/>
  <c r="BH33" i="1"/>
  <c r="V34" i="1"/>
  <c r="U35" i="1" s="1"/>
  <c r="BJ33" i="1" l="1"/>
  <c r="AU34" i="1"/>
  <c r="AT35" i="1" s="1"/>
  <c r="AZ34" i="1"/>
  <c r="AH34" i="1"/>
  <c r="AG35" i="1" s="1"/>
  <c r="AB34" i="1"/>
  <c r="AA35" i="1" s="1"/>
  <c r="AN34" i="1"/>
  <c r="AM35" i="1" s="1"/>
  <c r="BL34" i="1" l="1"/>
  <c r="BN34" i="1" s="1"/>
  <c r="BP34" i="1"/>
  <c r="BR34" i="1" s="1"/>
  <c r="BB34" i="1"/>
  <c r="BD34" i="1"/>
  <c r="BH34" i="1"/>
  <c r="AN35" i="1"/>
  <c r="AM36" i="1" s="1"/>
  <c r="V35" i="1"/>
  <c r="U36" i="1" s="1"/>
  <c r="BL35" i="1" l="1"/>
  <c r="BN35" i="1" s="1"/>
  <c r="BJ34" i="1"/>
  <c r="BF34" i="1"/>
  <c r="AZ35" i="1"/>
  <c r="AB35" i="1"/>
  <c r="AA36" i="1" s="1"/>
  <c r="AH35" i="1"/>
  <c r="AG36" i="1" s="1"/>
  <c r="AU35" i="1"/>
  <c r="AT36" i="1" s="1"/>
  <c r="BP35" i="1" l="1"/>
  <c r="BB35" i="1"/>
  <c r="BH35" i="1"/>
  <c r="BD35" i="1"/>
  <c r="BR35" i="1"/>
  <c r="AN36" i="1"/>
  <c r="AM37" i="1" s="1"/>
  <c r="V36" i="1"/>
  <c r="U37" i="1" s="1"/>
  <c r="BL36" i="1" l="1"/>
  <c r="BN36" i="1" s="1"/>
  <c r="BJ35" i="1"/>
  <c r="BF35" i="1"/>
  <c r="AZ36" i="1"/>
  <c r="BB36" i="1" s="1"/>
  <c r="AU36" i="1"/>
  <c r="AT37" i="1" s="1"/>
  <c r="AH36" i="1"/>
  <c r="AG37" i="1" s="1"/>
  <c r="AB36" i="1"/>
  <c r="AA37" i="1" s="1"/>
  <c r="BP36" i="1" l="1"/>
  <c r="BR36" i="1" s="1"/>
  <c r="BD36" i="1"/>
  <c r="BH36" i="1"/>
  <c r="AN37" i="1"/>
  <c r="AM38" i="1" s="1"/>
  <c r="V37" i="1"/>
  <c r="U38" i="1" s="1"/>
  <c r="BL37" i="1" l="1"/>
  <c r="BN37" i="1" s="1"/>
  <c r="BJ36" i="1"/>
  <c r="BF36" i="1"/>
  <c r="AZ37" i="1"/>
  <c r="AU37" i="1"/>
  <c r="AT38" i="1" s="1"/>
  <c r="AH37" i="1"/>
  <c r="AG38" i="1" s="1"/>
  <c r="AB37" i="1"/>
  <c r="AA38" i="1" s="1"/>
  <c r="BP37" i="1" l="1"/>
  <c r="BR37" i="1" s="1"/>
  <c r="BB37" i="1"/>
  <c r="BD37" i="1"/>
  <c r="BH37" i="1"/>
  <c r="AN38" i="1"/>
  <c r="AM39" i="1" s="1"/>
  <c r="V38" i="1"/>
  <c r="U39" i="1" s="1"/>
  <c r="BL38" i="1" l="1"/>
  <c r="BN38" i="1" s="1"/>
  <c r="BJ37" i="1"/>
  <c r="BF37" i="1"/>
  <c r="AZ38" i="1"/>
  <c r="AB38" i="1"/>
  <c r="AA39" i="1" s="1"/>
  <c r="AU38" i="1"/>
  <c r="AT39" i="1" s="1"/>
  <c r="AH38" i="1"/>
  <c r="AG39" i="1" s="1"/>
  <c r="BP38" i="1" l="1"/>
  <c r="BR38" i="1" s="1"/>
  <c r="BB38" i="1"/>
  <c r="BH38" i="1"/>
  <c r="BD38" i="1"/>
  <c r="AN39" i="1"/>
  <c r="AM40" i="1" s="1"/>
  <c r="V39" i="1"/>
  <c r="U40" i="1" s="1"/>
  <c r="AZ39" i="1" l="1"/>
  <c r="BB39" i="1" s="1"/>
  <c r="BL39" i="1"/>
  <c r="BN39" i="1" s="1"/>
  <c r="BJ38" i="1"/>
  <c r="AH39" i="1"/>
  <c r="AG40" i="1" s="1"/>
  <c r="BF38" i="1"/>
  <c r="AU39" i="1"/>
  <c r="AT40" i="1" s="1"/>
  <c r="AB39" i="1"/>
  <c r="AA40" i="1" s="1"/>
  <c r="R101" i="6" l="1"/>
  <c r="BH39" i="1"/>
  <c r="BJ39" i="1" s="1"/>
  <c r="BD39" i="1"/>
  <c r="BF39" i="1" s="1"/>
  <c r="BP39" i="1"/>
  <c r="BR39" i="1" s="1"/>
  <c r="V40" i="1"/>
  <c r="U41" i="1" s="1"/>
  <c r="P112" i="6" s="1"/>
  <c r="AZ40" i="1" l="1"/>
  <c r="BB40" i="1" s="1"/>
  <c r="AB40" i="1"/>
  <c r="AA41" i="1" s="1"/>
  <c r="AU40" i="1"/>
  <c r="AT41" i="1" s="1"/>
  <c r="AH40" i="1"/>
  <c r="AG41" i="1" s="1"/>
  <c r="AN40" i="1"/>
  <c r="AM41" i="1" s="1"/>
  <c r="T112" i="6" l="1"/>
  <c r="T102" i="6"/>
  <c r="R112" i="6"/>
  <c r="R102" i="6"/>
  <c r="Y112" i="6"/>
  <c r="Y102" i="6"/>
  <c r="V112" i="6"/>
  <c r="V102" i="6"/>
  <c r="BP40" i="1"/>
  <c r="BR40" i="1" s="1"/>
  <c r="BD40" i="1"/>
  <c r="BF40" i="1" s="1"/>
  <c r="BL40" i="1"/>
  <c r="BN40" i="1" s="1"/>
  <c r="BH40" i="1"/>
  <c r="BJ40" i="1" s="1"/>
  <c r="AU41" i="1"/>
  <c r="AT42" i="1" s="1"/>
  <c r="V41" i="1"/>
  <c r="U42" i="1" s="1"/>
  <c r="P113" i="6" l="1"/>
  <c r="P103" i="6"/>
  <c r="Y113" i="6"/>
  <c r="Y103" i="6"/>
  <c r="BP41" i="1"/>
  <c r="BR41" i="1" s="1"/>
  <c r="AZ41" i="1"/>
  <c r="BB41" i="1" s="1"/>
  <c r="AH41" i="1"/>
  <c r="AG42" i="1" s="1"/>
  <c r="V42" i="1"/>
  <c r="U43" i="1" s="1"/>
  <c r="AN41" i="1"/>
  <c r="AM42" i="1" s="1"/>
  <c r="AB41" i="1"/>
  <c r="AA42" i="1" s="1"/>
  <c r="P114" i="6" l="1"/>
  <c r="P104" i="6"/>
  <c r="T113" i="6"/>
  <c r="T103" i="6"/>
  <c r="R113" i="6"/>
  <c r="R103" i="6"/>
  <c r="V113" i="6"/>
  <c r="V103" i="6"/>
  <c r="BH41" i="1"/>
  <c r="BJ41" i="1" s="1"/>
  <c r="BL41" i="1"/>
  <c r="BN41" i="1" s="1"/>
  <c r="BD41" i="1"/>
  <c r="BF41" i="1" s="1"/>
  <c r="AZ42" i="1"/>
  <c r="BB42" i="1" s="1"/>
  <c r="AU42" i="1"/>
  <c r="AT43" i="1" s="1"/>
  <c r="Y114" i="6" l="1"/>
  <c r="Y104" i="6"/>
  <c r="BP42" i="1"/>
  <c r="BR42" i="1" s="1"/>
  <c r="AH42" i="1"/>
  <c r="AG43" i="1" s="1"/>
  <c r="AB42" i="1"/>
  <c r="AA43" i="1" s="1"/>
  <c r="AN42" i="1"/>
  <c r="AM43" i="1" s="1"/>
  <c r="V43" i="1"/>
  <c r="U44" i="1" s="1"/>
  <c r="P115" i="6" l="1"/>
  <c r="P105" i="6"/>
  <c r="T114" i="6"/>
  <c r="T104" i="6"/>
  <c r="V114" i="6"/>
  <c r="V104" i="6"/>
  <c r="R114" i="6"/>
  <c r="R104" i="6"/>
  <c r="BL42" i="1"/>
  <c r="BN42" i="1" s="1"/>
  <c r="BH42" i="1"/>
  <c r="BJ42" i="1" s="1"/>
  <c r="AZ43" i="1"/>
  <c r="BB43" i="1" s="1"/>
  <c r="BD42" i="1"/>
  <c r="AU43" i="1"/>
  <c r="AT44" i="1" s="1"/>
  <c r="Y115" i="6" l="1"/>
  <c r="Y105" i="6"/>
  <c r="BP43" i="1"/>
  <c r="BR43" i="1" s="1"/>
  <c r="AH43" i="1"/>
  <c r="AG44" i="1" s="1"/>
  <c r="BF42" i="1"/>
  <c r="AB43" i="1"/>
  <c r="AA44" i="1" s="1"/>
  <c r="AN43" i="1"/>
  <c r="AM44" i="1" s="1"/>
  <c r="V44" i="1"/>
  <c r="U45" i="1" s="1"/>
  <c r="P109" i="6" s="1"/>
  <c r="P116" i="6" l="1"/>
  <c r="P106" i="6"/>
  <c r="V115" i="6"/>
  <c r="V105" i="6"/>
  <c r="T115" i="6"/>
  <c r="T105" i="6"/>
  <c r="R115" i="6"/>
  <c r="R105" i="6"/>
  <c r="BL43" i="1"/>
  <c r="BN43" i="1" s="1"/>
  <c r="AZ44" i="1"/>
  <c r="BB44" i="1" s="1"/>
  <c r="BD43" i="1"/>
  <c r="BF43" i="1" s="1"/>
  <c r="BH43" i="1"/>
  <c r="BJ43" i="1" s="1"/>
  <c r="AN44" i="1"/>
  <c r="AM45" i="1" s="1"/>
  <c r="V109" i="6" s="1"/>
  <c r="AH44" i="1"/>
  <c r="AG45" i="1" s="1"/>
  <c r="T109" i="6" s="1"/>
  <c r="AU44" i="1"/>
  <c r="AT45" i="1" s="1"/>
  <c r="Y109" i="6" s="1"/>
  <c r="Y116" i="6" l="1"/>
  <c r="Y106" i="6"/>
  <c r="T116" i="6"/>
  <c r="T106" i="6"/>
  <c r="V116" i="6"/>
  <c r="V106" i="6"/>
  <c r="BL44" i="1"/>
  <c r="BN44" i="1" s="1"/>
  <c r="BP44" i="1"/>
  <c r="BR44" i="1" s="1"/>
  <c r="BH44" i="1"/>
  <c r="BJ44" i="1" s="1"/>
  <c r="AB44" i="1"/>
  <c r="AA45" i="1" s="1"/>
  <c r="R109" i="6" s="1"/>
  <c r="AN45" i="1"/>
  <c r="AM46" i="1" s="1"/>
  <c r="V110" i="6" s="1"/>
  <c r="V45" i="1"/>
  <c r="U46" i="1" s="1"/>
  <c r="P110" i="6" s="1"/>
  <c r="R116" i="6" l="1"/>
  <c r="R106" i="6"/>
  <c r="P117" i="6"/>
  <c r="P107" i="6"/>
  <c r="V117" i="6"/>
  <c r="V107" i="6"/>
  <c r="BD44" i="1"/>
  <c r="BF44" i="1" s="1"/>
  <c r="AZ45" i="1"/>
  <c r="BB45" i="1" s="1"/>
  <c r="BL45" i="1"/>
  <c r="BN45" i="1" s="1"/>
  <c r="AH45" i="1"/>
  <c r="AG46" i="1" s="1"/>
  <c r="T110" i="6" s="1"/>
  <c r="AU45" i="1"/>
  <c r="AT46" i="1" s="1"/>
  <c r="Y110" i="6" s="1"/>
  <c r="Y117" i="6" l="1"/>
  <c r="Y107" i="6"/>
  <c r="T117" i="6"/>
  <c r="T107" i="6"/>
  <c r="BH45" i="1"/>
  <c r="BJ45" i="1" s="1"/>
  <c r="BP45" i="1"/>
  <c r="BR45" i="1" s="1"/>
  <c r="AB45" i="1"/>
  <c r="AA46" i="1" s="1"/>
  <c r="R110" i="6" s="1"/>
  <c r="V46" i="1"/>
  <c r="U47" i="1" s="1"/>
  <c r="P111" i="6" s="1"/>
  <c r="P118" i="6" l="1"/>
  <c r="P108" i="6"/>
  <c r="R117" i="6"/>
  <c r="R107" i="6"/>
  <c r="AZ46" i="1"/>
  <c r="BB46" i="1" s="1"/>
  <c r="BD45" i="1"/>
  <c r="BF45" i="1" s="1"/>
  <c r="AB46" i="1"/>
  <c r="AA47" i="1" s="1"/>
  <c r="R111" i="6" s="1"/>
  <c r="AH46" i="1"/>
  <c r="AG47" i="1" s="1"/>
  <c r="T111" i="6" s="1"/>
  <c r="AU46" i="1"/>
  <c r="AT47" i="1" s="1"/>
  <c r="Y111" i="6" s="1"/>
  <c r="AN46" i="1"/>
  <c r="AM47" i="1" s="1"/>
  <c r="V111" i="6" s="1"/>
  <c r="R118" i="6" l="1"/>
  <c r="R108" i="6"/>
  <c r="T118" i="6"/>
  <c r="T108" i="6"/>
  <c r="V118" i="6"/>
  <c r="V108" i="6"/>
  <c r="Y118" i="6"/>
  <c r="Y108" i="6"/>
  <c r="BP46" i="1"/>
  <c r="BR46" i="1" s="1"/>
  <c r="BD46" i="1"/>
  <c r="BF46" i="1" s="1"/>
  <c r="BH46" i="1"/>
  <c r="BJ46" i="1" s="1"/>
  <c r="BL46" i="1"/>
  <c r="BN46" i="1" s="1"/>
  <c r="AH47" i="1"/>
  <c r="V47" i="1"/>
  <c r="BH47" i="1" l="1"/>
  <c r="BJ47" i="1" s="1"/>
  <c r="AZ47" i="1"/>
  <c r="BB47" i="1" s="1"/>
  <c r="AU47" i="1"/>
  <c r="P136" i="6"/>
  <c r="T136" i="6"/>
  <c r="AN47" i="1"/>
  <c r="AB47" i="1"/>
  <c r="AH48" i="1"/>
  <c r="T126" i="6" s="1"/>
  <c r="V48" i="1"/>
  <c r="P126" i="6" s="1"/>
  <c r="BD47" i="1" l="1"/>
  <c r="BF47" i="1" s="1"/>
  <c r="BL47" i="1"/>
  <c r="BN47" i="1" s="1"/>
  <c r="BP47" i="1"/>
  <c r="BR47" i="1" s="1"/>
  <c r="Y136" i="6"/>
  <c r="AU48" i="1"/>
  <c r="Y126" i="6" s="1"/>
  <c r="R136" i="6"/>
  <c r="V136" i="6"/>
  <c r="AN48" i="1"/>
  <c r="V126" i="6" s="1"/>
  <c r="AB48" i="1"/>
  <c r="R126" i="6" s="1"/>
  <c r="AJ7" i="1" l="1"/>
  <c r="I51" i="1"/>
  <c r="H53" i="1" l="1"/>
  <c r="I52" i="1"/>
  <c r="H54" i="1" l="1"/>
  <c r="Q52" i="1"/>
  <c r="I53" i="1"/>
  <c r="Q54" i="1"/>
  <c r="J98" i="1" l="1"/>
  <c r="M98" i="1" s="1"/>
  <c r="D64" i="1"/>
  <c r="F133" i="1"/>
  <c r="G93" i="6" s="1"/>
  <c r="AO18" i="1"/>
  <c r="AP18" i="1" s="1"/>
  <c r="AI18" i="1"/>
  <c r="AJ18" i="1" s="1"/>
  <c r="AV18" i="1"/>
  <c r="AW18" i="1" s="1"/>
  <c r="W18" i="1"/>
  <c r="X18" i="1" s="1"/>
  <c r="AC18" i="1"/>
  <c r="AD18" i="1" s="1"/>
  <c r="F19" i="1"/>
  <c r="BV19" i="1" l="1"/>
  <c r="H64" i="1"/>
  <c r="K64" i="1"/>
  <c r="I64" i="1"/>
  <c r="J64" i="1"/>
  <c r="G64" i="1"/>
  <c r="BW19" i="1" l="1"/>
  <c r="I19" i="1" s="1"/>
  <c r="D65" i="1" s="1"/>
  <c r="H19" i="1"/>
  <c r="F20" i="1" l="1"/>
  <c r="AO19" i="1"/>
  <c r="AP19" i="1" s="1"/>
  <c r="J65" i="1" s="1"/>
  <c r="AI19" i="1"/>
  <c r="AJ19" i="1" s="1"/>
  <c r="I65" i="1" s="1"/>
  <c r="AV19" i="1"/>
  <c r="I99" i="1" s="1"/>
  <c r="W19" i="1"/>
  <c r="X19" i="1" s="1"/>
  <c r="G65" i="1" s="1"/>
  <c r="AC19" i="1"/>
  <c r="AD19" i="1" s="1"/>
  <c r="H65" i="1" s="1"/>
  <c r="J99" i="1"/>
  <c r="M99" i="1" s="1"/>
  <c r="F134" i="1"/>
  <c r="G94" i="6" s="1"/>
  <c r="BV20" i="1"/>
  <c r="AW19" i="1" l="1"/>
  <c r="K65" i="1" s="1"/>
  <c r="G99" i="1"/>
  <c r="H99" i="1"/>
  <c r="E99" i="1"/>
  <c r="F99" i="1"/>
  <c r="BW20" i="1"/>
  <c r="I20" i="1" s="1"/>
  <c r="D66" i="1" s="1"/>
  <c r="H20" i="1"/>
  <c r="F21" i="1" l="1"/>
  <c r="AI20" i="1"/>
  <c r="G100" i="1" s="1"/>
  <c r="AV20" i="1"/>
  <c r="AW20" i="1" s="1"/>
  <c r="K66" i="1" s="1"/>
  <c r="AC20" i="1"/>
  <c r="F100" i="1" s="1"/>
  <c r="W20" i="1"/>
  <c r="E100" i="1" s="1"/>
  <c r="J100" i="1"/>
  <c r="M100" i="1" s="1"/>
  <c r="AO20" i="1"/>
  <c r="AP20" i="1" s="1"/>
  <c r="J66" i="1" s="1"/>
  <c r="F135" i="1"/>
  <c r="G95" i="6" s="1"/>
  <c r="BV21" i="1"/>
  <c r="H21" i="1" s="1"/>
  <c r="AJ20" i="1" l="1"/>
  <c r="I66" i="1" s="1"/>
  <c r="I100" i="1"/>
  <c r="X20" i="1"/>
  <c r="G66" i="1" s="1"/>
  <c r="AD20" i="1"/>
  <c r="H66" i="1" s="1"/>
  <c r="H100" i="1"/>
  <c r="BW21" i="1"/>
  <c r="I21" i="1" s="1"/>
  <c r="G69" i="6" s="1"/>
  <c r="D67" i="1" l="1"/>
  <c r="AC21" i="1"/>
  <c r="F101" i="1" s="1"/>
  <c r="W21" i="1"/>
  <c r="X21" i="1" s="1"/>
  <c r="G67" i="1" s="1"/>
  <c r="F22" i="1"/>
  <c r="BV22" i="1" s="1"/>
  <c r="AI21" i="1"/>
  <c r="AJ21" i="1" s="1"/>
  <c r="I67" i="1" s="1"/>
  <c r="AO21" i="1"/>
  <c r="AP21" i="1" s="1"/>
  <c r="J67" i="1" s="1"/>
  <c r="AV21" i="1"/>
  <c r="AW21" i="1" s="1"/>
  <c r="K67" i="1" s="1"/>
  <c r="J101" i="1"/>
  <c r="M101" i="1" s="1"/>
  <c r="F136" i="1"/>
  <c r="G96" i="6" s="1"/>
  <c r="H69" i="6" l="1"/>
  <c r="AD21" i="1"/>
  <c r="H67" i="1" s="1"/>
  <c r="E101" i="1"/>
  <c r="I101" i="1"/>
  <c r="G101" i="1"/>
  <c r="H101" i="1"/>
  <c r="BW22" i="1"/>
  <c r="I22" i="1" s="1"/>
  <c r="H22" i="1"/>
  <c r="D68" i="1" l="1"/>
  <c r="AI22" i="1"/>
  <c r="AP56" i="1" s="1"/>
  <c r="BB56" i="1"/>
  <c r="AV22" i="1"/>
  <c r="AW22" i="1" s="1"/>
  <c r="K68" i="1" s="1"/>
  <c r="J102" i="1"/>
  <c r="M102" i="1" s="1"/>
  <c r="AC56" i="1"/>
  <c r="AI56" i="1"/>
  <c r="AO22" i="1"/>
  <c r="AP22" i="1" s="1"/>
  <c r="F23" i="1"/>
  <c r="BV23" i="1" s="1"/>
  <c r="AU56" i="1"/>
  <c r="W22" i="1"/>
  <c r="X22" i="1" s="1"/>
  <c r="G68" i="1" s="1"/>
  <c r="AO56" i="1"/>
  <c r="AC22" i="1"/>
  <c r="AJ56" i="1" s="1"/>
  <c r="F137" i="1"/>
  <c r="G97" i="6" s="1"/>
  <c r="AJ22" i="1" l="1"/>
  <c r="I68" i="1" s="1"/>
  <c r="G102" i="1"/>
  <c r="AD56" i="1"/>
  <c r="BC56" i="1"/>
  <c r="H102" i="1"/>
  <c r="AV56" i="1"/>
  <c r="E102" i="1"/>
  <c r="I102" i="1"/>
  <c r="AD22" i="1"/>
  <c r="AK56" i="1" s="1"/>
  <c r="F102" i="1"/>
  <c r="BW23" i="1"/>
  <c r="I23" i="1" s="1"/>
  <c r="J103" i="1" s="1"/>
  <c r="M103" i="1" s="1"/>
  <c r="H23" i="1"/>
  <c r="BD56" i="1"/>
  <c r="J68" i="1"/>
  <c r="AE56" i="1"/>
  <c r="AW56" i="1"/>
  <c r="AQ56" i="1" l="1"/>
  <c r="AV23" i="1"/>
  <c r="AW23" i="1" s="1"/>
  <c r="K69" i="1" s="1"/>
  <c r="H68" i="1"/>
  <c r="D69" i="1"/>
  <c r="AO23" i="1"/>
  <c r="AP23" i="1" s="1"/>
  <c r="J69" i="1" s="1"/>
  <c r="AC23" i="1"/>
  <c r="AD23" i="1" s="1"/>
  <c r="H69" i="1" s="1"/>
  <c r="W23" i="1"/>
  <c r="E103" i="1" s="1"/>
  <c r="F138" i="1"/>
  <c r="G98" i="6" s="1"/>
  <c r="F24" i="1"/>
  <c r="BV24" i="1" s="1"/>
  <c r="AI23" i="1"/>
  <c r="G103" i="1" s="1"/>
  <c r="I103" i="1" l="1"/>
  <c r="F103" i="1"/>
  <c r="X23" i="1"/>
  <c r="G69" i="1" s="1"/>
  <c r="H103" i="1"/>
  <c r="AJ23" i="1"/>
  <c r="I69" i="1" s="1"/>
  <c r="BW24" i="1"/>
  <c r="I24" i="1" s="1"/>
  <c r="D70" i="1" s="1"/>
  <c r="H24" i="1"/>
  <c r="F25" i="1" l="1"/>
  <c r="BV25" i="1" s="1"/>
  <c r="H25" i="1" s="1"/>
  <c r="AI24" i="1"/>
  <c r="AJ24" i="1" s="1"/>
  <c r="I70" i="1" s="1"/>
  <c r="W24" i="1"/>
  <c r="X24" i="1" s="1"/>
  <c r="G70" i="1" s="1"/>
  <c r="AC24" i="1"/>
  <c r="AD24" i="1" s="1"/>
  <c r="H70" i="1" s="1"/>
  <c r="AV24" i="1"/>
  <c r="I104" i="1" s="1"/>
  <c r="J104" i="1"/>
  <c r="M104" i="1" s="1"/>
  <c r="AO24" i="1"/>
  <c r="H104" i="1" s="1"/>
  <c r="F139" i="1"/>
  <c r="G99" i="6" s="1"/>
  <c r="G104" i="1" l="1"/>
  <c r="E104" i="1"/>
  <c r="AP24" i="1"/>
  <c r="J70" i="1" s="1"/>
  <c r="AW24" i="1"/>
  <c r="K70" i="1" s="1"/>
  <c r="BW25" i="1"/>
  <c r="I25" i="1" s="1"/>
  <c r="D71" i="1" s="1"/>
  <c r="F104" i="1"/>
  <c r="AO25" i="1" l="1"/>
  <c r="H105" i="1" s="1"/>
  <c r="AC25" i="1"/>
  <c r="AD25" i="1" s="1"/>
  <c r="H71" i="1" s="1"/>
  <c r="W25" i="1"/>
  <c r="X25" i="1" s="1"/>
  <c r="G71" i="1" s="1"/>
  <c r="F26" i="1"/>
  <c r="BV26" i="1" s="1"/>
  <c r="AI25" i="1"/>
  <c r="AJ25" i="1" s="1"/>
  <c r="I71" i="1" s="1"/>
  <c r="J105" i="1"/>
  <c r="M105" i="1" s="1"/>
  <c r="AV25" i="1"/>
  <c r="AW25" i="1" s="1"/>
  <c r="K71" i="1" s="1"/>
  <c r="F140" i="1"/>
  <c r="G100" i="6" s="1"/>
  <c r="AP25" i="1"/>
  <c r="J71" i="1" s="1"/>
  <c r="G105" i="1" l="1"/>
  <c r="F105" i="1"/>
  <c r="E105" i="1"/>
  <c r="I105" i="1"/>
  <c r="BW26" i="1"/>
  <c r="I26" i="1" s="1"/>
  <c r="G71" i="6" s="1"/>
  <c r="H26" i="1"/>
  <c r="D72" i="1" l="1"/>
  <c r="AI26" i="1"/>
  <c r="AJ26" i="1" s="1"/>
  <c r="I72" i="1" s="1"/>
  <c r="AV26" i="1"/>
  <c r="AW26" i="1" s="1"/>
  <c r="K72" i="1" s="1"/>
  <c r="J106" i="1"/>
  <c r="M106" i="1" s="1"/>
  <c r="AC26" i="1"/>
  <c r="AD26" i="1" s="1"/>
  <c r="H72" i="1" s="1"/>
  <c r="F27" i="1"/>
  <c r="BV27" i="1" s="1"/>
  <c r="W26" i="1"/>
  <c r="X26" i="1" s="1"/>
  <c r="G72" i="1" s="1"/>
  <c r="AO26" i="1"/>
  <c r="H106" i="1" s="1"/>
  <c r="F141" i="1"/>
  <c r="G101" i="6" s="1"/>
  <c r="H71" i="6" l="1"/>
  <c r="G106" i="1"/>
  <c r="F106" i="1"/>
  <c r="E106" i="1"/>
  <c r="I106" i="1"/>
  <c r="AP26" i="1"/>
  <c r="J72" i="1" s="1"/>
  <c r="BW27" i="1"/>
  <c r="I27" i="1" s="1"/>
  <c r="D73" i="1" s="1"/>
  <c r="H27" i="1"/>
  <c r="AO57" i="1" l="1"/>
  <c r="W27" i="1"/>
  <c r="X27" i="1" s="1"/>
  <c r="G73" i="1" s="1"/>
  <c r="BB57" i="1"/>
  <c r="AI57" i="1"/>
  <c r="AO27" i="1"/>
  <c r="H107" i="1" s="1"/>
  <c r="AC27" i="1"/>
  <c r="AJ57" i="1" s="1"/>
  <c r="AC57" i="1"/>
  <c r="AI27" i="1"/>
  <c r="AP57" i="1" s="1"/>
  <c r="J107" i="1"/>
  <c r="M107" i="1" s="1"/>
  <c r="F28" i="1"/>
  <c r="BV28" i="1" s="1"/>
  <c r="AU57" i="1"/>
  <c r="AV27" i="1"/>
  <c r="I107" i="1" s="1"/>
  <c r="F142" i="1"/>
  <c r="G102" i="6" s="1"/>
  <c r="AP27" i="1" l="1"/>
  <c r="AW57" i="1" s="1"/>
  <c r="AV57" i="1"/>
  <c r="E107" i="1"/>
  <c r="AD57" i="1"/>
  <c r="AD27" i="1"/>
  <c r="H73" i="1" s="1"/>
  <c r="F107" i="1"/>
  <c r="BC57" i="1"/>
  <c r="AJ27" i="1"/>
  <c r="AQ57" i="1" s="1"/>
  <c r="G107" i="1"/>
  <c r="AW27" i="1"/>
  <c r="BD57" i="1" s="1"/>
  <c r="BW28" i="1"/>
  <c r="I28" i="1" s="1"/>
  <c r="D74" i="1" s="1"/>
  <c r="H28" i="1"/>
  <c r="J73" i="1"/>
  <c r="AE57" i="1"/>
  <c r="AK57" i="1" l="1"/>
  <c r="I73" i="1"/>
  <c r="K73" i="1"/>
  <c r="AO28" i="1"/>
  <c r="AP28" i="1" s="1"/>
  <c r="J74" i="1" s="1"/>
  <c r="AC28" i="1"/>
  <c r="F108" i="1" s="1"/>
  <c r="F29" i="1"/>
  <c r="BV29" i="1" s="1"/>
  <c r="H29" i="1" s="1"/>
  <c r="W28" i="1"/>
  <c r="E108" i="1" s="1"/>
  <c r="J108" i="1"/>
  <c r="M108" i="1" s="1"/>
  <c r="AV28" i="1"/>
  <c r="I108" i="1" s="1"/>
  <c r="F143" i="1"/>
  <c r="G103" i="6" s="1"/>
  <c r="AI28" i="1"/>
  <c r="G108" i="1" s="1"/>
  <c r="X28" i="1" l="1"/>
  <c r="G74" i="1" s="1"/>
  <c r="AJ28" i="1"/>
  <c r="I74" i="1" s="1"/>
  <c r="H108" i="1"/>
  <c r="AD28" i="1"/>
  <c r="H74" i="1" s="1"/>
  <c r="AW28" i="1"/>
  <c r="K74" i="1" s="1"/>
  <c r="BW29" i="1"/>
  <c r="I29" i="1" s="1"/>
  <c r="D75" i="1" s="1"/>
  <c r="J109" i="1" l="1"/>
  <c r="M109" i="1" s="1"/>
  <c r="AI29" i="1"/>
  <c r="AJ29" i="1" s="1"/>
  <c r="I75" i="1" s="1"/>
  <c r="AV29" i="1"/>
  <c r="AW29" i="1" s="1"/>
  <c r="K75" i="1" s="1"/>
  <c r="F30" i="1"/>
  <c r="BV30" i="1" s="1"/>
  <c r="AC29" i="1"/>
  <c r="AD29" i="1" s="1"/>
  <c r="H75" i="1" s="1"/>
  <c r="AO29" i="1"/>
  <c r="AP29" i="1" s="1"/>
  <c r="J75" i="1" s="1"/>
  <c r="W29" i="1"/>
  <c r="X29" i="1" s="1"/>
  <c r="G75" i="1" s="1"/>
  <c r="F144" i="1"/>
  <c r="G104" i="6" s="1"/>
  <c r="G109" i="1" l="1"/>
  <c r="H109" i="1"/>
  <c r="I109" i="1"/>
  <c r="E109" i="1"/>
  <c r="F109" i="1"/>
  <c r="BW30" i="1"/>
  <c r="I30" i="1" s="1"/>
  <c r="H30" i="1"/>
  <c r="D76" i="1" l="1"/>
  <c r="AO30" i="1"/>
  <c r="H110" i="1" s="1"/>
  <c r="AC30" i="1"/>
  <c r="F110" i="1" s="1"/>
  <c r="AV30" i="1"/>
  <c r="AW30" i="1" s="1"/>
  <c r="K76" i="1" s="1"/>
  <c r="J110" i="1"/>
  <c r="M110" i="1" s="1"/>
  <c r="W30" i="1"/>
  <c r="E110" i="1" s="1"/>
  <c r="F145" i="1"/>
  <c r="G105" i="6" s="1"/>
  <c r="F31" i="1"/>
  <c r="BV31" i="1" s="1"/>
  <c r="AI30" i="1"/>
  <c r="G110" i="1" s="1"/>
  <c r="AP30" i="1" l="1"/>
  <c r="J76" i="1" s="1"/>
  <c r="X30" i="1"/>
  <c r="G76" i="1" s="1"/>
  <c r="I110" i="1"/>
  <c r="AD30" i="1"/>
  <c r="H76" i="1" s="1"/>
  <c r="AJ30" i="1"/>
  <c r="I76" i="1" s="1"/>
  <c r="BW31" i="1"/>
  <c r="I31" i="1" s="1"/>
  <c r="G73" i="6" s="1"/>
  <c r="H31" i="1"/>
  <c r="D77" i="1" l="1"/>
  <c r="AO31" i="1"/>
  <c r="H111" i="1" s="1"/>
  <c r="W31" i="1"/>
  <c r="E111" i="1" s="1"/>
  <c r="J111" i="1"/>
  <c r="M111" i="1" s="1"/>
  <c r="F32" i="1"/>
  <c r="BV32" i="1" s="1"/>
  <c r="AC31" i="1"/>
  <c r="F111" i="1" s="1"/>
  <c r="AV31" i="1"/>
  <c r="I111" i="1" s="1"/>
  <c r="AI31" i="1"/>
  <c r="AJ31" i="1" s="1"/>
  <c r="I77" i="1" s="1"/>
  <c r="F146" i="1"/>
  <c r="G106" i="6" s="1"/>
  <c r="H73" i="6" l="1"/>
  <c r="AP31" i="1"/>
  <c r="J77" i="1" s="1"/>
  <c r="AW31" i="1"/>
  <c r="K77" i="1" s="1"/>
  <c r="AD31" i="1"/>
  <c r="H77" i="1" s="1"/>
  <c r="X31" i="1"/>
  <c r="G77" i="1" s="1"/>
  <c r="G111" i="1"/>
  <c r="BW32" i="1"/>
  <c r="I32" i="1" s="1"/>
  <c r="D78" i="1" s="1"/>
  <c r="H32" i="1"/>
  <c r="F147" i="1" l="1"/>
  <c r="G107" i="6" s="1"/>
  <c r="F33" i="1"/>
  <c r="BV33" i="1" s="1"/>
  <c r="H33" i="1" s="1"/>
  <c r="AI32" i="1"/>
  <c r="AP58" i="1" s="1"/>
  <c r="AC58" i="1"/>
  <c r="W32" i="1"/>
  <c r="X32" i="1" s="1"/>
  <c r="G78" i="1" s="1"/>
  <c r="AO58" i="1"/>
  <c r="AI58" i="1"/>
  <c r="AU58" i="1"/>
  <c r="AO32" i="1"/>
  <c r="AV58" i="1" s="1"/>
  <c r="AC32" i="1"/>
  <c r="AJ58" i="1" s="1"/>
  <c r="BB58" i="1"/>
  <c r="AV32" i="1"/>
  <c r="BC58" i="1" s="1"/>
  <c r="J112" i="1"/>
  <c r="M112" i="1" s="1"/>
  <c r="AD32" i="1" l="1"/>
  <c r="AK58" i="1" s="1"/>
  <c r="E112" i="1"/>
  <c r="AD58" i="1"/>
  <c r="H112" i="1"/>
  <c r="AP32" i="1"/>
  <c r="J78" i="1" s="1"/>
  <c r="F112" i="1"/>
  <c r="AW32" i="1"/>
  <c r="K78" i="1" s="1"/>
  <c r="I112" i="1"/>
  <c r="G112" i="1"/>
  <c r="AJ32" i="1"/>
  <c r="I78" i="1" s="1"/>
  <c r="BW33" i="1"/>
  <c r="I33" i="1" s="1"/>
  <c r="D79" i="1" s="1"/>
  <c r="AE58" i="1"/>
  <c r="AW58" i="1" l="1"/>
  <c r="H78" i="1"/>
  <c r="BD58" i="1"/>
  <c r="AQ58" i="1"/>
  <c r="AI33" i="1"/>
  <c r="AJ33" i="1" s="1"/>
  <c r="I79" i="1" s="1"/>
  <c r="AC33" i="1"/>
  <c r="AD33" i="1" s="1"/>
  <c r="H79" i="1" s="1"/>
  <c r="J113" i="1"/>
  <c r="M113" i="1" s="1"/>
  <c r="W33" i="1"/>
  <c r="E113" i="1" s="1"/>
  <c r="F34" i="1"/>
  <c r="BV34" i="1" s="1"/>
  <c r="AO33" i="1"/>
  <c r="H113" i="1" s="1"/>
  <c r="F148" i="1"/>
  <c r="G108" i="6" s="1"/>
  <c r="AV33" i="1"/>
  <c r="I113" i="1" s="1"/>
  <c r="G113" i="1" l="1"/>
  <c r="F113" i="1"/>
  <c r="AP33" i="1"/>
  <c r="J79" i="1" s="1"/>
  <c r="AW33" i="1"/>
  <c r="K79" i="1" s="1"/>
  <c r="X33" i="1"/>
  <c r="G79" i="1" s="1"/>
  <c r="BW34" i="1"/>
  <c r="I34" i="1" s="1"/>
  <c r="D80" i="1" s="1"/>
  <c r="H34" i="1"/>
  <c r="F35" i="1" l="1"/>
  <c r="BV35" i="1" s="1"/>
  <c r="AO34" i="1"/>
  <c r="AP34" i="1" s="1"/>
  <c r="J80" i="1" s="1"/>
  <c r="AV34" i="1"/>
  <c r="AW34" i="1" s="1"/>
  <c r="K80" i="1" s="1"/>
  <c r="W34" i="1"/>
  <c r="E114" i="1" s="1"/>
  <c r="AI34" i="1"/>
  <c r="AJ34" i="1" s="1"/>
  <c r="I80" i="1" s="1"/>
  <c r="J114" i="1"/>
  <c r="M114" i="1" s="1"/>
  <c r="AC34" i="1"/>
  <c r="AD34" i="1" s="1"/>
  <c r="H80" i="1" s="1"/>
  <c r="F149" i="1"/>
  <c r="G109" i="6" s="1"/>
  <c r="H114" i="1" l="1"/>
  <c r="X34" i="1"/>
  <c r="G80" i="1" s="1"/>
  <c r="I114" i="1"/>
  <c r="G114" i="1"/>
  <c r="F114" i="1"/>
  <c r="BW35" i="1"/>
  <c r="I35" i="1" s="1"/>
  <c r="H35" i="1"/>
  <c r="D81" i="1" l="1"/>
  <c r="F36" i="1"/>
  <c r="BV36" i="1" s="1"/>
  <c r="W35" i="1"/>
  <c r="X35" i="1" s="1"/>
  <c r="G81" i="1" s="1"/>
  <c r="AI35" i="1"/>
  <c r="AJ35" i="1" s="1"/>
  <c r="I81" i="1" s="1"/>
  <c r="AO35" i="1"/>
  <c r="AP35" i="1" s="1"/>
  <c r="J81" i="1" s="1"/>
  <c r="AV35" i="1"/>
  <c r="I115" i="1" s="1"/>
  <c r="F150" i="1"/>
  <c r="G110" i="6" s="1"/>
  <c r="AC35" i="1"/>
  <c r="AD35" i="1" s="1"/>
  <c r="H81" i="1" s="1"/>
  <c r="J115" i="1"/>
  <c r="M115" i="1" s="1"/>
  <c r="AW35" i="1" l="1"/>
  <c r="K81" i="1" s="1"/>
  <c r="E115" i="1"/>
  <c r="F115" i="1"/>
  <c r="G115" i="1"/>
  <c r="H115" i="1"/>
  <c r="BW36" i="1"/>
  <c r="I36" i="1" s="1"/>
  <c r="G75" i="6" s="1"/>
  <c r="H36" i="1"/>
  <c r="D82" i="1" l="1"/>
  <c r="AI36" i="1"/>
  <c r="G116" i="1" s="1"/>
  <c r="AO36" i="1"/>
  <c r="AP36" i="1" s="1"/>
  <c r="J82" i="1" s="1"/>
  <c r="AC36" i="1"/>
  <c r="F116" i="1" s="1"/>
  <c r="J116" i="1"/>
  <c r="M116" i="1" s="1"/>
  <c r="AV36" i="1"/>
  <c r="AW36" i="1" s="1"/>
  <c r="K82" i="1" s="1"/>
  <c r="F151" i="1"/>
  <c r="G111" i="6" s="1"/>
  <c r="F37" i="1"/>
  <c r="BV37" i="1" s="1"/>
  <c r="H37" i="1" s="1"/>
  <c r="W36" i="1"/>
  <c r="X36" i="1" s="1"/>
  <c r="G82" i="1" s="1"/>
  <c r="H75" i="6" l="1"/>
  <c r="AJ36" i="1"/>
  <c r="I82" i="1" s="1"/>
  <c r="I116" i="1"/>
  <c r="H116" i="1"/>
  <c r="AD36" i="1"/>
  <c r="H82" i="1" s="1"/>
  <c r="E116" i="1"/>
  <c r="BW37" i="1"/>
  <c r="I37" i="1" s="1"/>
  <c r="D83" i="1" s="1"/>
  <c r="F38" i="1" l="1"/>
  <c r="BV38" i="1" s="1"/>
  <c r="H38" i="1" s="1"/>
  <c r="AU59" i="1"/>
  <c r="AV37" i="1"/>
  <c r="I117" i="1" s="1"/>
  <c r="F152" i="1"/>
  <c r="G112" i="6" s="1"/>
  <c r="AO59" i="1"/>
  <c r="AC59" i="1"/>
  <c r="W37" i="1"/>
  <c r="E117" i="1" s="1"/>
  <c r="BB59" i="1"/>
  <c r="AI37" i="1"/>
  <c r="AJ37" i="1" s="1"/>
  <c r="AO37" i="1"/>
  <c r="H117" i="1" s="1"/>
  <c r="AI59" i="1"/>
  <c r="AC37" i="1"/>
  <c r="AJ59" i="1" s="1"/>
  <c r="J117" i="1"/>
  <c r="M117" i="1" s="1"/>
  <c r="AP59" i="1" l="1"/>
  <c r="G117" i="1"/>
  <c r="AV59" i="1"/>
  <c r="AP37" i="1"/>
  <c r="AW59" i="1" s="1"/>
  <c r="BC59" i="1"/>
  <c r="F117" i="1"/>
  <c r="AD37" i="1"/>
  <c r="AK59" i="1" s="1"/>
  <c r="AW37" i="1"/>
  <c r="BD59" i="1" s="1"/>
  <c r="AD59" i="1"/>
  <c r="X37" i="1"/>
  <c r="G83" i="1" s="1"/>
  <c r="BW38" i="1"/>
  <c r="I38" i="1" s="1"/>
  <c r="D84" i="1" s="1"/>
  <c r="I83" i="1"/>
  <c r="AQ59" i="1"/>
  <c r="J83" i="1" l="1"/>
  <c r="AE59" i="1"/>
  <c r="F39" i="1"/>
  <c r="BV39" i="1" s="1"/>
  <c r="H39" i="1" s="1"/>
  <c r="AV38" i="1"/>
  <c r="I118" i="1" s="1"/>
  <c r="K83" i="1"/>
  <c r="H83" i="1"/>
  <c r="AO38" i="1"/>
  <c r="AP38" i="1" s="1"/>
  <c r="J84" i="1" s="1"/>
  <c r="J118" i="1"/>
  <c r="M118" i="1" s="1"/>
  <c r="W38" i="1"/>
  <c r="X38" i="1" s="1"/>
  <c r="G84" i="1" s="1"/>
  <c r="F153" i="1"/>
  <c r="G113" i="6" s="1"/>
  <c r="AI38" i="1"/>
  <c r="G118" i="1" s="1"/>
  <c r="AC38" i="1"/>
  <c r="F118" i="1" s="1"/>
  <c r="AW38" i="1" l="1"/>
  <c r="K84" i="1" s="1"/>
  <c r="AJ38" i="1"/>
  <c r="I84" i="1" s="1"/>
  <c r="H118" i="1"/>
  <c r="AD38" i="1"/>
  <c r="H84" i="1" s="1"/>
  <c r="E118" i="1"/>
  <c r="BW39" i="1"/>
  <c r="I39" i="1" s="1"/>
  <c r="D85" i="1" s="1"/>
  <c r="AO39" i="1" l="1"/>
  <c r="H119" i="1" s="1"/>
  <c r="AV39" i="1"/>
  <c r="I119" i="1" s="1"/>
  <c r="AI39" i="1"/>
  <c r="G119" i="1" s="1"/>
  <c r="AC39" i="1"/>
  <c r="F119" i="1" s="1"/>
  <c r="J119" i="1"/>
  <c r="M119" i="1" s="1"/>
  <c r="F40" i="1"/>
  <c r="BV40" i="1" s="1"/>
  <c r="W39" i="1"/>
  <c r="X39" i="1" s="1"/>
  <c r="G85" i="1" s="1"/>
  <c r="F154" i="1"/>
  <c r="G114" i="6" s="1"/>
  <c r="AP39" i="1" l="1"/>
  <c r="J85" i="1" s="1"/>
  <c r="E119" i="1"/>
  <c r="AW39" i="1"/>
  <c r="K85" i="1" s="1"/>
  <c r="AD39" i="1"/>
  <c r="H85" i="1" s="1"/>
  <c r="AJ39" i="1"/>
  <c r="I85" i="1" s="1"/>
  <c r="BW40" i="1"/>
  <c r="I40" i="1" s="1"/>
  <c r="M29" i="6" s="1"/>
  <c r="H40" i="1"/>
  <c r="D86" i="1" l="1"/>
  <c r="AV40" i="1"/>
  <c r="I120" i="1" s="1"/>
  <c r="AO40" i="1"/>
  <c r="H120" i="1" s="1"/>
  <c r="W40" i="1"/>
  <c r="E120" i="1" s="1"/>
  <c r="F41" i="1"/>
  <c r="BV41" i="1" s="1"/>
  <c r="J120" i="1"/>
  <c r="M120" i="1" s="1"/>
  <c r="AC40" i="1"/>
  <c r="F120" i="1" s="1"/>
  <c r="AI40" i="1"/>
  <c r="AJ40" i="1" s="1"/>
  <c r="I86" i="1" s="1"/>
  <c r="F155" i="1"/>
  <c r="G115" i="6" s="1"/>
  <c r="X40" i="1" l="1"/>
  <c r="G86" i="1" s="1"/>
  <c r="AP40" i="1"/>
  <c r="J86" i="1" s="1"/>
  <c r="AW40" i="1"/>
  <c r="K86" i="1" s="1"/>
  <c r="AD40" i="1"/>
  <c r="H86" i="1" s="1"/>
  <c r="G120" i="1"/>
  <c r="BW41" i="1"/>
  <c r="I41" i="1" s="1"/>
  <c r="H41" i="1"/>
  <c r="D87" i="1" l="1"/>
  <c r="G77" i="6"/>
  <c r="AO41" i="1"/>
  <c r="H121" i="1" s="1"/>
  <c r="AV41" i="1"/>
  <c r="I121" i="1" s="1"/>
  <c r="AI41" i="1"/>
  <c r="G121" i="1" s="1"/>
  <c r="J121" i="1"/>
  <c r="M121" i="1" s="1"/>
  <c r="H77" i="6" s="1"/>
  <c r="AC41" i="1"/>
  <c r="F121" i="1" s="1"/>
  <c r="F156" i="1"/>
  <c r="G116" i="6" s="1"/>
  <c r="F42" i="1"/>
  <c r="BV42" i="1" s="1"/>
  <c r="W41" i="1"/>
  <c r="E121" i="1" s="1"/>
  <c r="AP41" i="1" l="1"/>
  <c r="J87" i="1" s="1"/>
  <c r="AD41" i="1"/>
  <c r="H87" i="1" s="1"/>
  <c r="AW41" i="1"/>
  <c r="K87" i="1" s="1"/>
  <c r="X41" i="1"/>
  <c r="G87" i="1" s="1"/>
  <c r="AJ41" i="1"/>
  <c r="I87" i="1" s="1"/>
  <c r="BW42" i="1"/>
  <c r="I42" i="1" s="1"/>
  <c r="D88" i="1" s="1"/>
  <c r="H42" i="1"/>
  <c r="BB60" i="1" l="1"/>
  <c r="AI42" i="1"/>
  <c r="AP60" i="1" s="1"/>
  <c r="W42" i="1"/>
  <c r="E122" i="1" s="1"/>
  <c r="AU60" i="1"/>
  <c r="AV42" i="1"/>
  <c r="BC60" i="1" s="1"/>
  <c r="J122" i="1"/>
  <c r="M122" i="1" s="1"/>
  <c r="F43" i="1"/>
  <c r="BV43" i="1" s="1"/>
  <c r="AC60" i="1"/>
  <c r="AO42" i="1"/>
  <c r="AV60" i="1" s="1"/>
  <c r="F157" i="1"/>
  <c r="G117" i="6" s="1"/>
  <c r="AO60" i="1"/>
  <c r="AI60" i="1"/>
  <c r="AC42" i="1"/>
  <c r="AJ60" i="1" s="1"/>
  <c r="AW42" i="1" l="1"/>
  <c r="K88" i="1" s="1"/>
  <c r="I122" i="1"/>
  <c r="AP42" i="1"/>
  <c r="AW60" i="1" s="1"/>
  <c r="H122" i="1"/>
  <c r="AJ42" i="1"/>
  <c r="I88" i="1" s="1"/>
  <c r="AD42" i="1"/>
  <c r="AK60" i="1" s="1"/>
  <c r="F122" i="1"/>
  <c r="X42" i="1"/>
  <c r="G88" i="1" s="1"/>
  <c r="AD60" i="1"/>
  <c r="G122" i="1"/>
  <c r="BW43" i="1"/>
  <c r="I43" i="1" s="1"/>
  <c r="D89" i="1" s="1"/>
  <c r="H43" i="1"/>
  <c r="BD60" i="1"/>
  <c r="J88" i="1" l="1"/>
  <c r="AQ60" i="1"/>
  <c r="H88" i="1"/>
  <c r="AE60" i="1"/>
  <c r="W43" i="1"/>
  <c r="X43" i="1" s="1"/>
  <c r="G89" i="1" s="1"/>
  <c r="F158" i="1"/>
  <c r="G118" i="6" s="1"/>
  <c r="AI43" i="1"/>
  <c r="AJ43" i="1" s="1"/>
  <c r="I89" i="1" s="1"/>
  <c r="F44" i="1"/>
  <c r="BV44" i="1" s="1"/>
  <c r="AC43" i="1"/>
  <c r="AD43" i="1" s="1"/>
  <c r="H89" i="1" s="1"/>
  <c r="AV43" i="1"/>
  <c r="AW43" i="1" s="1"/>
  <c r="K89" i="1" s="1"/>
  <c r="AO43" i="1"/>
  <c r="AP43" i="1" s="1"/>
  <c r="J89" i="1" s="1"/>
  <c r="J123" i="1"/>
  <c r="M123" i="1" s="1"/>
  <c r="E123" i="1" l="1"/>
  <c r="H123" i="1"/>
  <c r="G123" i="1"/>
  <c r="F123" i="1"/>
  <c r="I123" i="1"/>
  <c r="BW44" i="1"/>
  <c r="I44" i="1" s="1"/>
  <c r="D90" i="1" s="1"/>
  <c r="H44" i="1"/>
  <c r="AI44" i="1" l="1"/>
  <c r="AJ44" i="1" s="1"/>
  <c r="I90" i="1" s="1"/>
  <c r="W44" i="1"/>
  <c r="E124" i="1" s="1"/>
  <c r="AV44" i="1"/>
  <c r="I124" i="1" s="1"/>
  <c r="J124" i="1"/>
  <c r="M124" i="1" s="1"/>
  <c r="AC44" i="1"/>
  <c r="F124" i="1" s="1"/>
  <c r="F159" i="1"/>
  <c r="G119" i="6" s="1"/>
  <c r="F45" i="1"/>
  <c r="BV45" i="1" s="1"/>
  <c r="AO44" i="1"/>
  <c r="H124" i="1" s="1"/>
  <c r="G124" i="1" l="1"/>
  <c r="AD44" i="1"/>
  <c r="H90" i="1" s="1"/>
  <c r="AW44" i="1"/>
  <c r="K90" i="1" s="1"/>
  <c r="AP44" i="1"/>
  <c r="J90" i="1" s="1"/>
  <c r="X44" i="1"/>
  <c r="G90" i="1" s="1"/>
  <c r="BW45" i="1"/>
  <c r="I45" i="1" s="1"/>
  <c r="D91" i="1" s="1"/>
  <c r="H45" i="1"/>
  <c r="AC45" i="1" l="1"/>
  <c r="F125" i="1" s="1"/>
  <c r="AO45" i="1"/>
  <c r="AP45" i="1" s="1"/>
  <c r="J91" i="1" s="1"/>
  <c r="AI45" i="1"/>
  <c r="AJ45" i="1" s="1"/>
  <c r="I91" i="1" s="1"/>
  <c r="F46" i="1"/>
  <c r="BV46" i="1" s="1"/>
  <c r="H46" i="1" s="1"/>
  <c r="W45" i="1"/>
  <c r="E125" i="1" s="1"/>
  <c r="AV45" i="1"/>
  <c r="AW45" i="1" s="1"/>
  <c r="K91" i="1" s="1"/>
  <c r="J125" i="1"/>
  <c r="M125" i="1" s="1"/>
  <c r="F160" i="1"/>
  <c r="G120" i="6" s="1"/>
  <c r="AD45" i="1"/>
  <c r="H91" i="1" s="1"/>
  <c r="X45" i="1" l="1"/>
  <c r="G91" i="1" s="1"/>
  <c r="H125" i="1"/>
  <c r="G125" i="1"/>
  <c r="I125" i="1"/>
  <c r="BW46" i="1"/>
  <c r="I46" i="1" s="1"/>
  <c r="D92" i="1" l="1"/>
  <c r="G79" i="6"/>
  <c r="AO46" i="1"/>
  <c r="H126" i="1" s="1"/>
  <c r="F47" i="1"/>
  <c r="BV47" i="1" s="1"/>
  <c r="AC46" i="1"/>
  <c r="F126" i="1" s="1"/>
  <c r="AI46" i="1"/>
  <c r="AJ46" i="1" s="1"/>
  <c r="I92" i="1" s="1"/>
  <c r="W46" i="1"/>
  <c r="E126" i="1" s="1"/>
  <c r="AV46" i="1"/>
  <c r="AW46" i="1" s="1"/>
  <c r="K92" i="1" s="1"/>
  <c r="J126" i="1"/>
  <c r="M126" i="1" s="1"/>
  <c r="H79" i="6" s="1"/>
  <c r="F161" i="1"/>
  <c r="G121" i="6" s="1"/>
  <c r="X46" i="1" l="1"/>
  <c r="G92" i="1" s="1"/>
  <c r="AP46" i="1"/>
  <c r="J92" i="1" s="1"/>
  <c r="AD46" i="1"/>
  <c r="H92" i="1" s="1"/>
  <c r="H47" i="1"/>
  <c r="BW47" i="1"/>
  <c r="I47" i="1" s="1"/>
  <c r="G81" i="6" s="1"/>
  <c r="I126" i="1"/>
  <c r="G126" i="1"/>
  <c r="AV47" i="1" l="1"/>
  <c r="AW47" i="1" s="1"/>
  <c r="I48" i="1"/>
  <c r="AO47" i="1"/>
  <c r="H127" i="1" s="1"/>
  <c r="AC47" i="1"/>
  <c r="AD47" i="1" s="1"/>
  <c r="H93" i="1" s="1"/>
  <c r="J127" i="1"/>
  <c r="M127" i="1" s="1"/>
  <c r="H81" i="6" s="1"/>
  <c r="F48" i="1"/>
  <c r="AN49" i="1" s="1"/>
  <c r="AI47" i="1"/>
  <c r="G127" i="1" s="1"/>
  <c r="F162" i="1"/>
  <c r="G122" i="6" s="1"/>
  <c r="G126" i="6" s="1"/>
  <c r="W47" i="1"/>
  <c r="E127" i="1" s="1"/>
  <c r="D93" i="1"/>
  <c r="I127" i="1"/>
  <c r="M41" i="6"/>
  <c r="B81" i="6" l="1"/>
  <c r="Q106" i="6"/>
  <c r="Q121" i="6"/>
  <c r="X122" i="6"/>
  <c r="O94" i="6"/>
  <c r="O97" i="6"/>
  <c r="O100" i="6"/>
  <c r="X103" i="6"/>
  <c r="O106" i="6"/>
  <c r="Q108" i="6"/>
  <c r="X110" i="6"/>
  <c r="O113" i="6"/>
  <c r="O115" i="6"/>
  <c r="X118" i="6"/>
  <c r="T120" i="6"/>
  <c r="R119" i="6"/>
  <c r="V121" i="6"/>
  <c r="Q120" i="6"/>
  <c r="U122" i="6"/>
  <c r="W121" i="6"/>
  <c r="O108" i="6"/>
  <c r="X117" i="6"/>
  <c r="X113" i="6"/>
  <c r="S119" i="6"/>
  <c r="Q118" i="6"/>
  <c r="X101" i="6"/>
  <c r="X96" i="6"/>
  <c r="X95" i="6"/>
  <c r="S121" i="6"/>
  <c r="O105" i="6"/>
  <c r="X102" i="6"/>
  <c r="O111" i="6"/>
  <c r="X107" i="6"/>
  <c r="X116" i="6"/>
  <c r="Q112" i="6"/>
  <c r="O119" i="6"/>
  <c r="O116" i="6"/>
  <c r="R120" i="6"/>
  <c r="Q119" i="6"/>
  <c r="R121" i="6"/>
  <c r="W120" i="6"/>
  <c r="P122" i="6"/>
  <c r="Y121" i="6"/>
  <c r="X115" i="6"/>
  <c r="X97" i="6"/>
  <c r="O103" i="6"/>
  <c r="X98" i="6"/>
  <c r="X108" i="6"/>
  <c r="O104" i="6"/>
  <c r="O112" i="6"/>
  <c r="S120" i="6"/>
  <c r="T121" i="6"/>
  <c r="O122" i="6"/>
  <c r="S122" i="6"/>
  <c r="X93" i="6"/>
  <c r="O99" i="6"/>
  <c r="X94" i="6"/>
  <c r="Q104" i="6"/>
  <c r="X100" i="6"/>
  <c r="X109" i="6"/>
  <c r="X105" i="6"/>
  <c r="Q114" i="6"/>
  <c r="O110" i="6"/>
  <c r="U119" i="6"/>
  <c r="Y119" i="6"/>
  <c r="P120" i="6"/>
  <c r="O120" i="6"/>
  <c r="P121" i="6"/>
  <c r="Y122" i="6"/>
  <c r="Q122" i="6"/>
  <c r="X114" i="6"/>
  <c r="Q116" i="6"/>
  <c r="O118" i="6"/>
  <c r="V119" i="6"/>
  <c r="U120" i="6"/>
  <c r="X99" i="6"/>
  <c r="O102" i="6"/>
  <c r="O107" i="6"/>
  <c r="Q110" i="6"/>
  <c r="X112" i="6"/>
  <c r="O114" i="6"/>
  <c r="O117" i="6"/>
  <c r="T119" i="6"/>
  <c r="W119" i="6"/>
  <c r="V120" i="6"/>
  <c r="Y120" i="6"/>
  <c r="O121" i="6"/>
  <c r="U121" i="6"/>
  <c r="T122" i="6"/>
  <c r="O95" i="6"/>
  <c r="O98" i="6"/>
  <c r="O101" i="6"/>
  <c r="X104" i="6"/>
  <c r="X106" i="6"/>
  <c r="O109" i="6"/>
  <c r="X111" i="6"/>
  <c r="P119" i="6"/>
  <c r="R122" i="6"/>
  <c r="O93" i="6"/>
  <c r="O96" i="6"/>
  <c r="X120" i="6"/>
  <c r="X119" i="6"/>
  <c r="X121" i="6"/>
  <c r="W122" i="6"/>
  <c r="V122" i="6"/>
  <c r="Q93" i="6"/>
  <c r="U95" i="6"/>
  <c r="S94" i="6"/>
  <c r="W93" i="6"/>
  <c r="S93" i="6"/>
  <c r="W94" i="6"/>
  <c r="U93" i="6"/>
  <c r="S95" i="6"/>
  <c r="Q94" i="6"/>
  <c r="V94" i="6"/>
  <c r="S96" i="6"/>
  <c r="Q97" i="6"/>
  <c r="W95" i="6"/>
  <c r="P93" i="6"/>
  <c r="Q95" i="6"/>
  <c r="U94" i="6"/>
  <c r="V93" i="6"/>
  <c r="U98" i="6"/>
  <c r="W96" i="6"/>
  <c r="S98" i="6"/>
  <c r="U97" i="6"/>
  <c r="S97" i="6"/>
  <c r="R93" i="6"/>
  <c r="W97" i="6"/>
  <c r="Y93" i="6"/>
  <c r="U96" i="6"/>
  <c r="Q96" i="6"/>
  <c r="T93" i="6"/>
  <c r="U99" i="6"/>
  <c r="T94" i="6"/>
  <c r="R94" i="6"/>
  <c r="P94" i="6"/>
  <c r="W98" i="6"/>
  <c r="Q98" i="6"/>
  <c r="S99" i="6"/>
  <c r="Y94" i="6"/>
  <c r="P95" i="6"/>
  <c r="W99" i="6"/>
  <c r="Q99" i="6"/>
  <c r="R96" i="6"/>
  <c r="R95" i="6"/>
  <c r="Q100" i="6"/>
  <c r="W100" i="6"/>
  <c r="T95" i="6"/>
  <c r="V95" i="6"/>
  <c r="Y95" i="6"/>
  <c r="S100" i="6"/>
  <c r="U100" i="6"/>
  <c r="P96" i="6"/>
  <c r="U101" i="6"/>
  <c r="S101" i="6"/>
  <c r="W101" i="6"/>
  <c r="V97" i="6"/>
  <c r="Q102" i="6"/>
  <c r="T96" i="6"/>
  <c r="U102" i="6"/>
  <c r="Q101" i="6"/>
  <c r="Y96" i="6"/>
  <c r="S102" i="6"/>
  <c r="W102" i="6"/>
  <c r="V96" i="6"/>
  <c r="W103" i="6"/>
  <c r="U103" i="6"/>
  <c r="S103" i="6"/>
  <c r="Q103" i="6"/>
  <c r="P97" i="6"/>
  <c r="W104" i="6"/>
  <c r="R97" i="6"/>
  <c r="U104" i="6"/>
  <c r="Y97" i="6"/>
  <c r="S104" i="6"/>
  <c r="U105" i="6"/>
  <c r="W105" i="6"/>
  <c r="V98" i="6"/>
  <c r="S105" i="6"/>
  <c r="Q105" i="6"/>
  <c r="T97" i="6"/>
  <c r="P98" i="6"/>
  <c r="T98" i="6"/>
  <c r="Y98" i="6"/>
  <c r="W106" i="6"/>
  <c r="U106" i="6"/>
  <c r="S106" i="6"/>
  <c r="R98" i="6"/>
  <c r="S107" i="6"/>
  <c r="Q107" i="6"/>
  <c r="W107" i="6"/>
  <c r="P99" i="6"/>
  <c r="U107" i="6"/>
  <c r="Q109" i="6"/>
  <c r="V99" i="6"/>
  <c r="T99" i="6"/>
  <c r="Y99" i="6"/>
  <c r="R99" i="6"/>
  <c r="U108" i="6"/>
  <c r="W108" i="6"/>
  <c r="S108" i="6"/>
  <c r="U110" i="6"/>
  <c r="W109" i="6"/>
  <c r="S109" i="6"/>
  <c r="T100" i="6"/>
  <c r="U109" i="6"/>
  <c r="V100" i="6"/>
  <c r="Y100" i="6"/>
  <c r="R100" i="6"/>
  <c r="P100" i="6"/>
  <c r="W110" i="6"/>
  <c r="S110" i="6"/>
  <c r="W111" i="6"/>
  <c r="P102" i="6"/>
  <c r="Q111" i="6"/>
  <c r="V101" i="6"/>
  <c r="W112" i="6"/>
  <c r="S111" i="6"/>
  <c r="U112" i="6"/>
  <c r="Y101" i="6"/>
  <c r="U111" i="6"/>
  <c r="T101" i="6"/>
  <c r="P101" i="6"/>
  <c r="W113" i="6"/>
  <c r="S113" i="6"/>
  <c r="S112" i="6"/>
  <c r="X48" i="1"/>
  <c r="V49" i="1"/>
  <c r="AP48" i="1"/>
  <c r="R138" i="6"/>
  <c r="T138" i="6"/>
  <c r="K93" i="1"/>
  <c r="P138" i="6"/>
  <c r="V138" i="6"/>
  <c r="Y138" i="6"/>
  <c r="AW48" i="1"/>
  <c r="AH49" i="1"/>
  <c r="AB49" i="1"/>
  <c r="AJ48" i="1"/>
  <c r="AU49" i="1"/>
  <c r="AD48" i="1"/>
  <c r="X47" i="1"/>
  <c r="G93" i="1" s="1"/>
  <c r="AP47" i="1"/>
  <c r="J93" i="1" s="1"/>
  <c r="AJ47" i="1"/>
  <c r="I93" i="1" s="1"/>
  <c r="F127" i="1"/>
  <c r="U9" i="5"/>
  <c r="O19" i="1"/>
  <c r="N20" i="1" s="1"/>
  <c r="E64" i="1"/>
  <c r="AG9" i="1"/>
  <c r="Q18" i="1"/>
  <c r="Y134" i="6" l="1"/>
  <c r="P134" i="6"/>
  <c r="V134" i="6"/>
  <c r="T134" i="6"/>
  <c r="R134" i="6"/>
  <c r="BM19" i="1"/>
  <c r="BQ19" i="1"/>
  <c r="BI19" i="1"/>
  <c r="P19" i="1"/>
  <c r="BC19" i="1" s="1"/>
  <c r="BA19" i="1"/>
  <c r="BE19" i="1"/>
  <c r="D98" i="1"/>
  <c r="N98" i="1" s="1"/>
  <c r="K99" i="1"/>
  <c r="L99" i="1" s="1"/>
  <c r="G133" i="1"/>
  <c r="Q19" i="1"/>
  <c r="G134" i="1" s="1"/>
  <c r="H94" i="6" s="1"/>
  <c r="E134" i="1"/>
  <c r="E65" i="1"/>
  <c r="R18" i="1"/>
  <c r="O20" i="1"/>
  <c r="N21" i="1" s="1"/>
  <c r="BS19" i="1" l="1"/>
  <c r="BK19" i="1"/>
  <c r="BG19" i="1"/>
  <c r="BQ20" i="1"/>
  <c r="BM20" i="1"/>
  <c r="BI20" i="1"/>
  <c r="BO19" i="1"/>
  <c r="P20" i="1"/>
  <c r="BK20" i="1" s="1"/>
  <c r="BA20" i="1"/>
  <c r="BE20" i="1"/>
  <c r="I133" i="1"/>
  <c r="J93" i="6" s="1"/>
  <c r="E135" i="1"/>
  <c r="F95" i="6" s="1"/>
  <c r="K100" i="1"/>
  <c r="L100" i="1" s="1"/>
  <c r="D99" i="1"/>
  <c r="N99" i="1" s="1"/>
  <c r="H134" i="1"/>
  <c r="I94" i="6" s="1"/>
  <c r="F94" i="6"/>
  <c r="H133" i="1"/>
  <c r="I93" i="6" s="1"/>
  <c r="K93" i="6" s="1"/>
  <c r="H93" i="6"/>
  <c r="R19" i="1"/>
  <c r="I134" i="1" s="1"/>
  <c r="J94" i="6" s="1"/>
  <c r="F64" i="1"/>
  <c r="O21" i="1"/>
  <c r="E66" i="1"/>
  <c r="Q20" i="1"/>
  <c r="D100" i="1" s="1"/>
  <c r="N100" i="1" l="1"/>
  <c r="N22" i="1"/>
  <c r="O22" i="1" s="1"/>
  <c r="N23" i="1" s="1"/>
  <c r="K94" i="6"/>
  <c r="BO20" i="1"/>
  <c r="BC20" i="1"/>
  <c r="BS20" i="1"/>
  <c r="BG20" i="1"/>
  <c r="BQ21" i="1"/>
  <c r="BM21" i="1"/>
  <c r="BI21" i="1"/>
  <c r="P21" i="1"/>
  <c r="BA21" i="1"/>
  <c r="BE21" i="1"/>
  <c r="O71" i="6" s="1"/>
  <c r="E136" i="1"/>
  <c r="F96" i="6" s="1"/>
  <c r="K101" i="1"/>
  <c r="L101" i="1" s="1"/>
  <c r="G135" i="1"/>
  <c r="E67" i="1"/>
  <c r="Q21" i="1"/>
  <c r="F65" i="1"/>
  <c r="R20" i="1"/>
  <c r="I135" i="1" s="1"/>
  <c r="J95" i="6" s="1"/>
  <c r="D101" i="1" l="1"/>
  <c r="N101" i="1" s="1"/>
  <c r="BO21" i="1"/>
  <c r="BK21" i="1"/>
  <c r="BS21" i="1"/>
  <c r="BG21" i="1"/>
  <c r="BC21" i="1"/>
  <c r="BM22" i="1"/>
  <c r="BQ22" i="1"/>
  <c r="BI22" i="1"/>
  <c r="P22" i="1"/>
  <c r="BO22" i="1" s="1"/>
  <c r="BA22" i="1"/>
  <c r="BE22" i="1"/>
  <c r="E137" i="1"/>
  <c r="F97" i="6" s="1"/>
  <c r="K102" i="1"/>
  <c r="L102" i="1" s="1"/>
  <c r="H135" i="1"/>
  <c r="I95" i="6" s="1"/>
  <c r="K95" i="6" s="1"/>
  <c r="H95" i="6"/>
  <c r="G136" i="1"/>
  <c r="E68" i="1"/>
  <c r="V56" i="1"/>
  <c r="O23" i="1"/>
  <c r="N24" i="1" s="1"/>
  <c r="Q22" i="1"/>
  <c r="D102" i="1" s="1"/>
  <c r="R21" i="1"/>
  <c r="F66" i="1"/>
  <c r="I136" i="1" l="1"/>
  <c r="J96" i="6" s="1"/>
  <c r="N102" i="1"/>
  <c r="BS22" i="1"/>
  <c r="BC22" i="1"/>
  <c r="BG22" i="1"/>
  <c r="BM23" i="1"/>
  <c r="BQ23" i="1"/>
  <c r="BI23" i="1"/>
  <c r="BK22" i="1"/>
  <c r="BA23" i="1"/>
  <c r="BE23" i="1"/>
  <c r="P23" i="1"/>
  <c r="E138" i="1"/>
  <c r="F98" i="6" s="1"/>
  <c r="K103" i="1"/>
  <c r="L103" i="1" s="1"/>
  <c r="H136" i="1"/>
  <c r="I96" i="6" s="1"/>
  <c r="K96" i="6" s="1"/>
  <c r="H96" i="6"/>
  <c r="X56" i="1"/>
  <c r="G137" i="1"/>
  <c r="E69" i="1"/>
  <c r="O24" i="1"/>
  <c r="N25" i="1" s="1"/>
  <c r="Q23" i="1"/>
  <c r="F67" i="1"/>
  <c r="R22" i="1"/>
  <c r="I137" i="1" s="1"/>
  <c r="J97" i="6" s="1"/>
  <c r="BQ24" i="1" l="1"/>
  <c r="BI24" i="1"/>
  <c r="BM24" i="1"/>
  <c r="P24" i="1"/>
  <c r="BG24" i="1" s="1"/>
  <c r="BE24" i="1"/>
  <c r="BA24" i="1"/>
  <c r="BK23" i="1"/>
  <c r="BG23" i="1"/>
  <c r="BC23" i="1"/>
  <c r="BO23" i="1"/>
  <c r="BS23" i="1"/>
  <c r="D103" i="1"/>
  <c r="N103" i="1" s="1"/>
  <c r="E139" i="1"/>
  <c r="F99" i="6" s="1"/>
  <c r="K104" i="1"/>
  <c r="L104" i="1" s="1"/>
  <c r="H137" i="1"/>
  <c r="I97" i="6" s="1"/>
  <c r="K97" i="6" s="1"/>
  <c r="H97" i="6"/>
  <c r="G138" i="1"/>
  <c r="Q24" i="1"/>
  <c r="G139" i="1" s="1"/>
  <c r="O25" i="1"/>
  <c r="N26" i="1" s="1"/>
  <c r="E70" i="1"/>
  <c r="F68" i="1"/>
  <c r="Y56" i="1"/>
  <c r="R23" i="1"/>
  <c r="BO24" i="1" l="1"/>
  <c r="BS24" i="1"/>
  <c r="BC24" i="1"/>
  <c r="BM25" i="1"/>
  <c r="BQ25" i="1"/>
  <c r="BI25" i="1"/>
  <c r="BK24" i="1"/>
  <c r="P25" i="1"/>
  <c r="BS25" i="1" s="1"/>
  <c r="BA25" i="1"/>
  <c r="BE25" i="1"/>
  <c r="I138" i="1"/>
  <c r="J98" i="6" s="1"/>
  <c r="E140" i="1"/>
  <c r="F100" i="6" s="1"/>
  <c r="K105" i="1"/>
  <c r="L105" i="1" s="1"/>
  <c r="D104" i="1"/>
  <c r="N104" i="1" s="1"/>
  <c r="H138" i="1"/>
  <c r="I98" i="6" s="1"/>
  <c r="K98" i="6" s="1"/>
  <c r="H98" i="6"/>
  <c r="H139" i="1"/>
  <c r="I99" i="6" s="1"/>
  <c r="K99" i="6" s="1"/>
  <c r="H99" i="6"/>
  <c r="E71" i="1"/>
  <c r="Q25" i="1"/>
  <c r="D105" i="1" s="1"/>
  <c r="O26" i="1"/>
  <c r="F69" i="1"/>
  <c r="R24" i="1"/>
  <c r="I139" i="1" s="1"/>
  <c r="J99" i="6" s="1"/>
  <c r="N27" i="1" l="1"/>
  <c r="O27" i="1" s="1"/>
  <c r="N28" i="1" s="1"/>
  <c r="N105" i="1"/>
  <c r="BK25" i="1"/>
  <c r="BO25" i="1"/>
  <c r="BG25" i="1"/>
  <c r="BC25" i="1"/>
  <c r="BQ26" i="1"/>
  <c r="BM26" i="1"/>
  <c r="BI26" i="1"/>
  <c r="P26" i="1"/>
  <c r="BA26" i="1"/>
  <c r="BE26" i="1"/>
  <c r="E141" i="1"/>
  <c r="F101" i="6" s="1"/>
  <c r="K106" i="1"/>
  <c r="L106" i="1" s="1"/>
  <c r="G140" i="1"/>
  <c r="R25" i="1"/>
  <c r="I140" i="1" s="1"/>
  <c r="J100" i="6" s="1"/>
  <c r="F70" i="1"/>
  <c r="E72" i="1"/>
  <c r="Q26" i="1"/>
  <c r="BK26" i="1" l="1"/>
  <c r="D106" i="1"/>
  <c r="N106" i="1" s="1"/>
  <c r="BS26" i="1"/>
  <c r="BO26" i="1"/>
  <c r="BG26" i="1"/>
  <c r="BC26" i="1"/>
  <c r="BQ27" i="1"/>
  <c r="BM27" i="1"/>
  <c r="BI27" i="1"/>
  <c r="P27" i="1"/>
  <c r="BC27" i="1" s="1"/>
  <c r="BA27" i="1"/>
  <c r="BE27" i="1"/>
  <c r="E142" i="1"/>
  <c r="F102" i="6" s="1"/>
  <c r="K107" i="1"/>
  <c r="L107" i="1" s="1"/>
  <c r="H140" i="1"/>
  <c r="I100" i="6" s="1"/>
  <c r="K100" i="6" s="1"/>
  <c r="H100" i="6"/>
  <c r="G141" i="1"/>
  <c r="O28" i="1"/>
  <c r="N29" i="1" s="1"/>
  <c r="Q27" i="1"/>
  <c r="D107" i="1" s="1"/>
  <c r="V57" i="1"/>
  <c r="E73" i="1"/>
  <c r="F71" i="1"/>
  <c r="R26" i="1"/>
  <c r="I141" i="1" l="1"/>
  <c r="J101" i="6" s="1"/>
  <c r="N107" i="1"/>
  <c r="BK27" i="1"/>
  <c r="BG27" i="1"/>
  <c r="BQ28" i="1"/>
  <c r="BM28" i="1"/>
  <c r="BI28" i="1"/>
  <c r="BS27" i="1"/>
  <c r="BO27" i="1"/>
  <c r="BA28" i="1"/>
  <c r="BE28" i="1"/>
  <c r="P28" i="1"/>
  <c r="E143" i="1"/>
  <c r="F103" i="6" s="1"/>
  <c r="K108" i="1"/>
  <c r="L108" i="1" s="1"/>
  <c r="H141" i="1"/>
  <c r="I101" i="6" s="1"/>
  <c r="K101" i="6" s="1"/>
  <c r="H101" i="6"/>
  <c r="X57" i="1"/>
  <c r="G142" i="1"/>
  <c r="E74" i="1"/>
  <c r="Q28" i="1"/>
  <c r="O29" i="1"/>
  <c r="N30" i="1" s="1"/>
  <c r="R27" i="1"/>
  <c r="I142" i="1" s="1"/>
  <c r="J102" i="6" s="1"/>
  <c r="F72" i="1"/>
  <c r="BQ29" i="1" l="1"/>
  <c r="BM29" i="1"/>
  <c r="BI29" i="1"/>
  <c r="P29" i="1"/>
  <c r="BK29" i="1" s="1"/>
  <c r="BA29" i="1"/>
  <c r="BE29" i="1"/>
  <c r="BC28" i="1"/>
  <c r="BK28" i="1"/>
  <c r="BG28" i="1"/>
  <c r="BO28" i="1"/>
  <c r="BS28" i="1"/>
  <c r="D108" i="1"/>
  <c r="N108" i="1" s="1"/>
  <c r="E144" i="1"/>
  <c r="F104" i="6" s="1"/>
  <c r="K109" i="1"/>
  <c r="L109" i="1" s="1"/>
  <c r="H142" i="1"/>
  <c r="I102" i="6" s="1"/>
  <c r="K102" i="6" s="1"/>
  <c r="H102" i="6"/>
  <c r="G143" i="1"/>
  <c r="O30" i="1"/>
  <c r="E75" i="1"/>
  <c r="Q29" i="1"/>
  <c r="D109" i="1" s="1"/>
  <c r="F73" i="1"/>
  <c r="Y57" i="1"/>
  <c r="R28" i="1"/>
  <c r="N31" i="1" l="1"/>
  <c r="N109" i="1"/>
  <c r="BS29" i="1"/>
  <c r="BC29" i="1"/>
  <c r="BG29" i="1"/>
  <c r="BO29" i="1"/>
  <c r="BI30" i="1"/>
  <c r="BM30" i="1"/>
  <c r="BQ30" i="1"/>
  <c r="P30" i="1"/>
  <c r="BA30" i="1"/>
  <c r="BE30" i="1"/>
  <c r="I143" i="1"/>
  <c r="J103" i="6" s="1"/>
  <c r="E145" i="1"/>
  <c r="F105" i="6" s="1"/>
  <c r="K110" i="1"/>
  <c r="L110" i="1" s="1"/>
  <c r="H143" i="1"/>
  <c r="I103" i="6" s="1"/>
  <c r="K103" i="6" s="1"/>
  <c r="H103" i="6"/>
  <c r="G144" i="1"/>
  <c r="Q30" i="1"/>
  <c r="O31" i="1"/>
  <c r="E76" i="1"/>
  <c r="F74" i="1"/>
  <c r="R29" i="1"/>
  <c r="I144" i="1" s="1"/>
  <c r="J104" i="6" s="1"/>
  <c r="N32" i="1" l="1"/>
  <c r="O32" i="1" s="1"/>
  <c r="N33" i="1" s="1"/>
  <c r="D110" i="1"/>
  <c r="N110" i="1" s="1"/>
  <c r="BG30" i="1"/>
  <c r="BC30" i="1"/>
  <c r="BO30" i="1"/>
  <c r="BK30" i="1"/>
  <c r="BM31" i="1"/>
  <c r="BQ31" i="1"/>
  <c r="BI31" i="1"/>
  <c r="BS30" i="1"/>
  <c r="P31" i="1"/>
  <c r="BA31" i="1"/>
  <c r="BE31" i="1"/>
  <c r="E146" i="1"/>
  <c r="F106" i="6" s="1"/>
  <c r="K111" i="1"/>
  <c r="L111" i="1" s="1"/>
  <c r="H144" i="1"/>
  <c r="I104" i="6" s="1"/>
  <c r="K104" i="6" s="1"/>
  <c r="H104" i="6"/>
  <c r="G145" i="1"/>
  <c r="F75" i="1"/>
  <c r="R30" i="1"/>
  <c r="E77" i="1"/>
  <c r="Q31" i="1"/>
  <c r="D111" i="1" l="1"/>
  <c r="N111" i="1" s="1"/>
  <c r="BG31" i="1"/>
  <c r="I145" i="1"/>
  <c r="J105" i="6" s="1"/>
  <c r="BC31" i="1"/>
  <c r="BK31" i="1"/>
  <c r="BS31" i="1"/>
  <c r="BO31" i="1"/>
  <c r="BI32" i="1"/>
  <c r="BM32" i="1"/>
  <c r="BQ32" i="1"/>
  <c r="P32" i="1"/>
  <c r="BG32" i="1" s="1"/>
  <c r="BA32" i="1"/>
  <c r="BE32" i="1"/>
  <c r="E147" i="1"/>
  <c r="F107" i="6" s="1"/>
  <c r="K112" i="1"/>
  <c r="L112" i="1" s="1"/>
  <c r="H145" i="1"/>
  <c r="I105" i="6" s="1"/>
  <c r="K105" i="6" s="1"/>
  <c r="H105" i="6"/>
  <c r="G146" i="1"/>
  <c r="E78" i="1"/>
  <c r="O33" i="1"/>
  <c r="N34" i="1" s="1"/>
  <c r="V58" i="1"/>
  <c r="Q32" i="1"/>
  <c r="D112" i="1" s="1"/>
  <c r="F76" i="1"/>
  <c r="R31" i="1"/>
  <c r="I146" i="1" l="1"/>
  <c r="J106" i="6" s="1"/>
  <c r="N112" i="1"/>
  <c r="BC32" i="1"/>
  <c r="BM33" i="1"/>
  <c r="BQ33" i="1"/>
  <c r="BI33" i="1"/>
  <c r="BK32" i="1"/>
  <c r="BS32" i="1"/>
  <c r="BO32" i="1"/>
  <c r="BE33" i="1"/>
  <c r="BA33" i="1"/>
  <c r="P33" i="1"/>
  <c r="E148" i="1"/>
  <c r="F108" i="6" s="1"/>
  <c r="K113" i="1"/>
  <c r="L113" i="1" s="1"/>
  <c r="H146" i="1"/>
  <c r="I106" i="6" s="1"/>
  <c r="K106" i="6" s="1"/>
  <c r="H106" i="6"/>
  <c r="X58" i="1"/>
  <c r="G147" i="1"/>
  <c r="E79" i="1"/>
  <c r="Q33" i="1"/>
  <c r="O34" i="1"/>
  <c r="F77" i="1"/>
  <c r="R32" i="1"/>
  <c r="I147" i="1" s="1"/>
  <c r="J107" i="6" s="1"/>
  <c r="N35" i="1" l="1"/>
  <c r="D69" i="6"/>
  <c r="BQ34" i="1"/>
  <c r="U69" i="6" s="1"/>
  <c r="BM34" i="1"/>
  <c r="S69" i="6" s="1"/>
  <c r="BI34" i="1"/>
  <c r="Q69" i="6" s="1"/>
  <c r="P34" i="1"/>
  <c r="BA34" i="1"/>
  <c r="M69" i="6" s="1"/>
  <c r="BE34" i="1"/>
  <c r="O69" i="6" s="1"/>
  <c r="BC33" i="1"/>
  <c r="BS33" i="1"/>
  <c r="BG33" i="1"/>
  <c r="BO33" i="1"/>
  <c r="BK33" i="1"/>
  <c r="D113" i="1"/>
  <c r="N113" i="1" s="1"/>
  <c r="E149" i="1"/>
  <c r="F109" i="6" s="1"/>
  <c r="K114" i="1"/>
  <c r="L114" i="1" s="1"/>
  <c r="H147" i="1"/>
  <c r="I107" i="6" s="1"/>
  <c r="K107" i="6" s="1"/>
  <c r="H107" i="6"/>
  <c r="G148" i="1"/>
  <c r="O35" i="1"/>
  <c r="Q34" i="1"/>
  <c r="E80" i="1"/>
  <c r="F78" i="1"/>
  <c r="R33" i="1"/>
  <c r="Y58" i="1"/>
  <c r="BK34" i="1" l="1"/>
  <c r="R69" i="6" s="1"/>
  <c r="E69" i="6"/>
  <c r="D114" i="1"/>
  <c r="J69" i="6"/>
  <c r="N36" i="1"/>
  <c r="O36" i="1" s="1"/>
  <c r="D75" i="6" s="1"/>
  <c r="N114" i="1"/>
  <c r="BG34" i="1"/>
  <c r="P69" i="6" s="1"/>
  <c r="BS34" i="1"/>
  <c r="V69" i="6" s="1"/>
  <c r="BC34" i="1"/>
  <c r="N69" i="6" s="1"/>
  <c r="BO34" i="1"/>
  <c r="T69" i="6" s="1"/>
  <c r="BM35" i="1"/>
  <c r="BQ35" i="1"/>
  <c r="BI35" i="1"/>
  <c r="P35" i="1"/>
  <c r="BA35" i="1"/>
  <c r="BE35" i="1"/>
  <c r="I148" i="1"/>
  <c r="J108" i="6" s="1"/>
  <c r="E150" i="1"/>
  <c r="F110" i="6" s="1"/>
  <c r="K115" i="1"/>
  <c r="L115" i="1" s="1"/>
  <c r="H148" i="1"/>
  <c r="I108" i="6" s="1"/>
  <c r="K108" i="6" s="1"/>
  <c r="H108" i="6"/>
  <c r="G149" i="1"/>
  <c r="F79" i="1"/>
  <c r="R34" i="1"/>
  <c r="E81" i="1"/>
  <c r="Q35" i="1"/>
  <c r="I149" i="1" l="1"/>
  <c r="J109" i="6" s="1"/>
  <c r="K69" i="6"/>
  <c r="N37" i="1"/>
  <c r="D115" i="1"/>
  <c r="N115" i="1" s="1"/>
  <c r="BG35" i="1"/>
  <c r="BO35" i="1"/>
  <c r="BM36" i="1"/>
  <c r="BQ36" i="1"/>
  <c r="BI36" i="1"/>
  <c r="BS35" i="1"/>
  <c r="BC35" i="1"/>
  <c r="BK35" i="1"/>
  <c r="P36" i="1"/>
  <c r="E75" i="6" s="1"/>
  <c r="BA36" i="1"/>
  <c r="BE36" i="1"/>
  <c r="E151" i="1"/>
  <c r="F111" i="6" s="1"/>
  <c r="K116" i="1"/>
  <c r="L116" i="1" s="1"/>
  <c r="H149" i="1"/>
  <c r="I109" i="6" s="1"/>
  <c r="K109" i="6" s="1"/>
  <c r="H109" i="6"/>
  <c r="G150" i="1"/>
  <c r="Q36" i="1"/>
  <c r="J75" i="6" s="1"/>
  <c r="O37" i="1"/>
  <c r="N38" i="1" s="1"/>
  <c r="E82" i="1"/>
  <c r="R35" i="1"/>
  <c r="F80" i="1"/>
  <c r="Q75" i="6" l="1"/>
  <c r="U75" i="6"/>
  <c r="O75" i="6"/>
  <c r="S75" i="6"/>
  <c r="M75" i="6"/>
  <c r="D116" i="1"/>
  <c r="N116" i="1" s="1"/>
  <c r="BK36" i="1"/>
  <c r="I150" i="1"/>
  <c r="J110" i="6" s="1"/>
  <c r="BC36" i="1"/>
  <c r="BG36" i="1"/>
  <c r="BO36" i="1"/>
  <c r="BS36" i="1"/>
  <c r="BM37" i="1"/>
  <c r="BQ37" i="1"/>
  <c r="BI37" i="1"/>
  <c r="P37" i="1"/>
  <c r="BG37" i="1" s="1"/>
  <c r="BA37" i="1"/>
  <c r="BE37" i="1"/>
  <c r="E152" i="1"/>
  <c r="F112" i="6" s="1"/>
  <c r="K117" i="1"/>
  <c r="L117" i="1" s="1"/>
  <c r="H150" i="1"/>
  <c r="I110" i="6" s="1"/>
  <c r="K110" i="6" s="1"/>
  <c r="H110" i="6"/>
  <c r="G151" i="1"/>
  <c r="O38" i="1"/>
  <c r="N39" i="1" s="1"/>
  <c r="Q37" i="1"/>
  <c r="D117" i="1" s="1"/>
  <c r="V59" i="1"/>
  <c r="E83" i="1"/>
  <c r="F81" i="1"/>
  <c r="R36" i="1"/>
  <c r="K75" i="6" s="1"/>
  <c r="N75" i="6" l="1"/>
  <c r="V75" i="6"/>
  <c r="T75" i="6"/>
  <c r="P75" i="6"/>
  <c r="R75" i="6"/>
  <c r="I151" i="1"/>
  <c r="J111" i="6" s="1"/>
  <c r="N117" i="1"/>
  <c r="BS37" i="1"/>
  <c r="BO37" i="1"/>
  <c r="BK37" i="1"/>
  <c r="BC37" i="1"/>
  <c r="BM38" i="1"/>
  <c r="BQ38" i="1"/>
  <c r="BI38" i="1"/>
  <c r="BA38" i="1"/>
  <c r="BE38" i="1"/>
  <c r="P38" i="1"/>
  <c r="E153" i="1"/>
  <c r="F113" i="6" s="1"/>
  <c r="K118" i="1"/>
  <c r="L118" i="1" s="1"/>
  <c r="H151" i="1"/>
  <c r="I111" i="6" s="1"/>
  <c r="K111" i="6" s="1"/>
  <c r="H111" i="6"/>
  <c r="X59" i="1"/>
  <c r="G152" i="1"/>
  <c r="Q38" i="1"/>
  <c r="E84" i="1"/>
  <c r="O39" i="1"/>
  <c r="F82" i="1"/>
  <c r="R37" i="1"/>
  <c r="I152" i="1" s="1"/>
  <c r="J112" i="6" s="1"/>
  <c r="N40" i="1" l="1"/>
  <c r="D71" i="6"/>
  <c r="BM39" i="1"/>
  <c r="S71" i="6" s="1"/>
  <c r="BI39" i="1"/>
  <c r="Q71" i="6" s="1"/>
  <c r="BQ39" i="1"/>
  <c r="U71" i="6" s="1"/>
  <c r="P39" i="1"/>
  <c r="BA39" i="1"/>
  <c r="M71" i="6" s="1"/>
  <c r="BE39" i="1"/>
  <c r="BO38" i="1"/>
  <c r="BC38" i="1"/>
  <c r="BG38" i="1"/>
  <c r="BK38" i="1"/>
  <c r="BS38" i="1"/>
  <c r="D118" i="1"/>
  <c r="N118" i="1" s="1"/>
  <c r="E154" i="1"/>
  <c r="F114" i="6" s="1"/>
  <c r="K119" i="1"/>
  <c r="L119" i="1" s="1"/>
  <c r="H152" i="1"/>
  <c r="I112" i="6" s="1"/>
  <c r="K112" i="6" s="1"/>
  <c r="H112" i="6"/>
  <c r="G153" i="1"/>
  <c r="F83" i="1"/>
  <c r="Y59" i="1"/>
  <c r="R38" i="1"/>
  <c r="O40" i="1"/>
  <c r="E85" i="1"/>
  <c r="Q39" i="1"/>
  <c r="BK39" i="1" l="1"/>
  <c r="R71" i="6" s="1"/>
  <c r="E71" i="6"/>
  <c r="D119" i="1"/>
  <c r="N119" i="1" s="1"/>
  <c r="J71" i="6"/>
  <c r="N41" i="1"/>
  <c r="BO39" i="1"/>
  <c r="T71" i="6" s="1"/>
  <c r="BC39" i="1"/>
  <c r="N71" i="6" s="1"/>
  <c r="BQ40" i="1"/>
  <c r="BM40" i="1"/>
  <c r="BI40" i="1"/>
  <c r="BS39" i="1"/>
  <c r="V71" i="6" s="1"/>
  <c r="BG39" i="1"/>
  <c r="P71" i="6" s="1"/>
  <c r="P40" i="1"/>
  <c r="BA40" i="1"/>
  <c r="BE40" i="1"/>
  <c r="I153" i="1"/>
  <c r="J113" i="6" s="1"/>
  <c r="E155" i="1"/>
  <c r="F115" i="6" s="1"/>
  <c r="K120" i="1"/>
  <c r="L120" i="1" s="1"/>
  <c r="H153" i="1"/>
  <c r="I113" i="6" s="1"/>
  <c r="K113" i="6" s="1"/>
  <c r="H113" i="6"/>
  <c r="G154" i="1"/>
  <c r="E86" i="1"/>
  <c r="M25" i="6" s="1"/>
  <c r="Q40" i="1"/>
  <c r="O41" i="1"/>
  <c r="F84" i="1"/>
  <c r="R39" i="1"/>
  <c r="I154" i="1" l="1"/>
  <c r="J114" i="6" s="1"/>
  <c r="K71" i="6"/>
  <c r="N42" i="1"/>
  <c r="D77" i="6"/>
  <c r="BG40" i="1"/>
  <c r="D120" i="1"/>
  <c r="BK40" i="1"/>
  <c r="BS40" i="1"/>
  <c r="BO40" i="1"/>
  <c r="BC40" i="1"/>
  <c r="BQ41" i="1"/>
  <c r="U77" i="6" s="1"/>
  <c r="BM41" i="1"/>
  <c r="S77" i="6" s="1"/>
  <c r="BI41" i="1"/>
  <c r="Q77" i="6" s="1"/>
  <c r="P41" i="1"/>
  <c r="BA41" i="1"/>
  <c r="M77" i="6" s="1"/>
  <c r="BE41" i="1"/>
  <c r="O77" i="6" s="1"/>
  <c r="E156" i="1"/>
  <c r="F116" i="6" s="1"/>
  <c r="K121" i="1"/>
  <c r="L121" i="1" s="1"/>
  <c r="H154" i="1"/>
  <c r="I114" i="6" s="1"/>
  <c r="K114" i="6" s="1"/>
  <c r="H114" i="6"/>
  <c r="G155" i="1"/>
  <c r="Q41" i="1"/>
  <c r="E87" i="1"/>
  <c r="O42" i="1"/>
  <c r="N43" i="1" s="1"/>
  <c r="F85" i="1"/>
  <c r="R40" i="1"/>
  <c r="D121" i="1" l="1"/>
  <c r="J77" i="6"/>
  <c r="BO41" i="1"/>
  <c r="T77" i="6" s="1"/>
  <c r="E77" i="6"/>
  <c r="M33" i="6"/>
  <c r="N120" i="1"/>
  <c r="I155" i="1"/>
  <c r="J115" i="6" s="1"/>
  <c r="N121" i="1"/>
  <c r="BC41" i="1"/>
  <c r="N77" i="6" s="1"/>
  <c r="BS41" i="1"/>
  <c r="V77" i="6" s="1"/>
  <c r="BG41" i="1"/>
  <c r="P77" i="6" s="1"/>
  <c r="BK41" i="1"/>
  <c r="R77" i="6" s="1"/>
  <c r="BQ42" i="1"/>
  <c r="BM42" i="1"/>
  <c r="BI42" i="1"/>
  <c r="P42" i="1"/>
  <c r="BK42" i="1" s="1"/>
  <c r="BA42" i="1"/>
  <c r="BE42" i="1"/>
  <c r="E157" i="1"/>
  <c r="F117" i="6" s="1"/>
  <c r="K122" i="1"/>
  <c r="L122" i="1" s="1"/>
  <c r="H155" i="1"/>
  <c r="I115" i="6" s="1"/>
  <c r="K115" i="6" s="1"/>
  <c r="H115" i="6"/>
  <c r="G156" i="1"/>
  <c r="Q42" i="1"/>
  <c r="D122" i="1" s="1"/>
  <c r="V60" i="1"/>
  <c r="E88" i="1"/>
  <c r="O43" i="1"/>
  <c r="N44" i="1" s="1"/>
  <c r="F86" i="1"/>
  <c r="M36" i="6" s="1"/>
  <c r="R41" i="1"/>
  <c r="I156" i="1" l="1"/>
  <c r="J116" i="6" s="1"/>
  <c r="K77" i="6"/>
  <c r="M34" i="6"/>
  <c r="N122" i="1"/>
  <c r="M31" i="6"/>
  <c r="M30" i="6"/>
  <c r="BS42" i="1"/>
  <c r="BG42" i="1"/>
  <c r="BC42" i="1"/>
  <c r="BI43" i="1"/>
  <c r="BQ43" i="1"/>
  <c r="BM43" i="1"/>
  <c r="BO42" i="1"/>
  <c r="BA43" i="1"/>
  <c r="BE43" i="1"/>
  <c r="P43" i="1"/>
  <c r="E158" i="1"/>
  <c r="F118" i="6" s="1"/>
  <c r="K123" i="1"/>
  <c r="L123" i="1" s="1"/>
  <c r="H156" i="1"/>
  <c r="I116" i="6" s="1"/>
  <c r="K116" i="6" s="1"/>
  <c r="H116" i="6"/>
  <c r="X60" i="1"/>
  <c r="G157" i="1"/>
  <c r="O44" i="1"/>
  <c r="Q43" i="1"/>
  <c r="E89" i="1"/>
  <c r="F87" i="1"/>
  <c r="R42" i="1"/>
  <c r="I157" i="1" s="1"/>
  <c r="J117" i="6" s="1"/>
  <c r="N45" i="1" l="1"/>
  <c r="D73" i="6"/>
  <c r="BI44" i="1"/>
  <c r="Q73" i="6" s="1"/>
  <c r="BM44" i="1"/>
  <c r="S73" i="6" s="1"/>
  <c r="BQ44" i="1"/>
  <c r="U73" i="6" s="1"/>
  <c r="BA44" i="1"/>
  <c r="M73" i="6" s="1"/>
  <c r="BE44" i="1"/>
  <c r="O73" i="6" s="1"/>
  <c r="BC43" i="1"/>
  <c r="BG43" i="1"/>
  <c r="BS43" i="1"/>
  <c r="BK43" i="1"/>
  <c r="BO43" i="1"/>
  <c r="P44" i="1"/>
  <c r="E73" i="6" s="1"/>
  <c r="D123" i="1"/>
  <c r="E159" i="1"/>
  <c r="F119" i="6" s="1"/>
  <c r="K124" i="1"/>
  <c r="L124" i="1" s="1"/>
  <c r="H157" i="1"/>
  <c r="I117" i="6" s="1"/>
  <c r="K117" i="6" s="1"/>
  <c r="H117" i="6"/>
  <c r="X61" i="1"/>
  <c r="G158" i="1"/>
  <c r="E90" i="1"/>
  <c r="O45" i="1"/>
  <c r="Q44" i="1"/>
  <c r="F88" i="1"/>
  <c r="Y60" i="1"/>
  <c r="R43" i="1"/>
  <c r="D124" i="1" l="1"/>
  <c r="J73" i="6"/>
  <c r="N46" i="1"/>
  <c r="N123" i="1"/>
  <c r="N124" i="1"/>
  <c r="BM45" i="1"/>
  <c r="BQ45" i="1"/>
  <c r="BI45" i="1"/>
  <c r="BA45" i="1"/>
  <c r="BE45" i="1"/>
  <c r="BC44" i="1"/>
  <c r="N73" i="6" s="1"/>
  <c r="BK44" i="1"/>
  <c r="R73" i="6" s="1"/>
  <c r="BO44" i="1"/>
  <c r="T73" i="6" s="1"/>
  <c r="BS44" i="1"/>
  <c r="V73" i="6" s="1"/>
  <c r="BG44" i="1"/>
  <c r="P73" i="6" s="1"/>
  <c r="P45" i="1"/>
  <c r="I158" i="1"/>
  <c r="J118" i="6" s="1"/>
  <c r="E160" i="1"/>
  <c r="F120" i="6" s="1"/>
  <c r="K125" i="1"/>
  <c r="L125" i="1" s="1"/>
  <c r="H158" i="1"/>
  <c r="I118" i="6" s="1"/>
  <c r="K118" i="6" s="1"/>
  <c r="H118" i="6"/>
  <c r="G159" i="1"/>
  <c r="F89" i="1"/>
  <c r="R44" i="1"/>
  <c r="E91" i="1"/>
  <c r="Q45" i="1"/>
  <c r="O46" i="1"/>
  <c r="I159" i="1" l="1"/>
  <c r="J119" i="6" s="1"/>
  <c r="K73" i="6"/>
  <c r="N47" i="1"/>
  <c r="D79" i="6"/>
  <c r="D125" i="1"/>
  <c r="BM46" i="1"/>
  <c r="S79" i="6" s="1"/>
  <c r="BI46" i="1"/>
  <c r="Q79" i="6" s="1"/>
  <c r="BQ46" i="1"/>
  <c r="U79" i="6" s="1"/>
  <c r="BA46" i="1"/>
  <c r="M79" i="6" s="1"/>
  <c r="BE46" i="1"/>
  <c r="O79" i="6" s="1"/>
  <c r="BO45" i="1"/>
  <c r="BC45" i="1"/>
  <c r="BG45" i="1"/>
  <c r="BS45" i="1"/>
  <c r="BK45" i="1"/>
  <c r="P46" i="1"/>
  <c r="E79" i="6" s="1"/>
  <c r="E161" i="1"/>
  <c r="F121" i="6" s="1"/>
  <c r="K126" i="1"/>
  <c r="L126" i="1" s="1"/>
  <c r="H159" i="1"/>
  <c r="I119" i="6" s="1"/>
  <c r="K119" i="6" s="1"/>
  <c r="H119" i="6"/>
  <c r="G160" i="1"/>
  <c r="O47" i="1"/>
  <c r="D81" i="6" s="1"/>
  <c r="Q46" i="1"/>
  <c r="E92" i="1"/>
  <c r="R45" i="1"/>
  <c r="F90" i="1"/>
  <c r="D126" i="1" l="1"/>
  <c r="J79" i="6"/>
  <c r="N125" i="1"/>
  <c r="N126" i="1"/>
  <c r="BI47" i="1"/>
  <c r="Q81" i="6" s="1"/>
  <c r="BQ47" i="1"/>
  <c r="U81" i="6" s="1"/>
  <c r="BM47" i="1"/>
  <c r="S81" i="6" s="1"/>
  <c r="BA47" i="1"/>
  <c r="M81" i="6" s="1"/>
  <c r="BE47" i="1"/>
  <c r="O81" i="6" s="1"/>
  <c r="BC46" i="1"/>
  <c r="N79" i="6" s="1"/>
  <c r="BK46" i="1"/>
  <c r="R79" i="6" s="1"/>
  <c r="BS46" i="1"/>
  <c r="V79" i="6" s="1"/>
  <c r="BG46" i="1"/>
  <c r="P79" i="6" s="1"/>
  <c r="BO46" i="1"/>
  <c r="T79" i="6" s="1"/>
  <c r="P47" i="1"/>
  <c r="E81" i="6" s="1"/>
  <c r="M40" i="6"/>
  <c r="I160" i="1"/>
  <c r="J120" i="6" s="1"/>
  <c r="E162" i="1"/>
  <c r="F122" i="6" s="1"/>
  <c r="K127" i="1"/>
  <c r="L127" i="1" s="1"/>
  <c r="H160" i="1"/>
  <c r="I120" i="6" s="1"/>
  <c r="K120" i="6" s="1"/>
  <c r="H120" i="6"/>
  <c r="G161" i="1"/>
  <c r="Q47" i="1"/>
  <c r="J81" i="6" s="1"/>
  <c r="V61" i="1"/>
  <c r="E93" i="1"/>
  <c r="O48" i="1"/>
  <c r="F91" i="1"/>
  <c r="R46" i="1"/>
  <c r="I161" i="1" l="1"/>
  <c r="J121" i="6" s="1"/>
  <c r="K79" i="6"/>
  <c r="M42" i="6"/>
  <c r="BC47" i="1"/>
  <c r="N81" i="6" s="1"/>
  <c r="BK47" i="1"/>
  <c r="R81" i="6" s="1"/>
  <c r="BS47" i="1"/>
  <c r="V81" i="6" s="1"/>
  <c r="BG47" i="1"/>
  <c r="P81" i="6" s="1"/>
  <c r="BO47" i="1"/>
  <c r="T81" i="6" s="1"/>
  <c r="D127" i="1"/>
  <c r="F126" i="6"/>
  <c r="V128" i="6" s="1"/>
  <c r="H128" i="6"/>
  <c r="H161" i="1"/>
  <c r="I121" i="6" s="1"/>
  <c r="K121" i="6" s="1"/>
  <c r="H121" i="6"/>
  <c r="G162" i="1"/>
  <c r="F92" i="1"/>
  <c r="R47" i="1"/>
  <c r="K81" i="6" s="1"/>
  <c r="O49" i="1"/>
  <c r="R48" i="1"/>
  <c r="N127" i="1" l="1"/>
  <c r="M45" i="6" s="1"/>
  <c r="M44" i="6"/>
  <c r="I162" i="1"/>
  <c r="J122" i="6" s="1"/>
  <c r="V132" i="6" s="1"/>
  <c r="M47" i="6"/>
  <c r="R128" i="6"/>
  <c r="T128" i="6"/>
  <c r="P128" i="6"/>
  <c r="Y128" i="6"/>
  <c r="H162" i="1"/>
  <c r="I122" i="6" s="1"/>
  <c r="K122" i="6" s="1"/>
  <c r="H122" i="6"/>
  <c r="H126" i="6" s="1"/>
  <c r="AK51" i="1"/>
  <c r="AK52" i="1" s="1"/>
  <c r="AE51" i="1"/>
  <c r="AE52" i="1" s="1"/>
  <c r="AW51" i="1"/>
  <c r="AW52" i="1" s="1"/>
  <c r="BD51" i="1"/>
  <c r="BD52" i="1" s="1"/>
  <c r="AQ51" i="1"/>
  <c r="AQ52" i="1" s="1"/>
  <c r="F93" i="1"/>
  <c r="Y61" i="1"/>
  <c r="P132" i="6" l="1"/>
  <c r="Y130" i="6"/>
  <c r="V130" i="6"/>
  <c r="T130" i="6"/>
  <c r="R132" i="6"/>
  <c r="R130" i="6"/>
  <c r="P130" i="6"/>
  <c r="T132" i="6"/>
  <c r="Y132" i="6"/>
</calcChain>
</file>

<file path=xl/sharedStrings.xml><?xml version="1.0" encoding="utf-8"?>
<sst xmlns="http://schemas.openxmlformats.org/spreadsheetml/2006/main" count="495" uniqueCount="267">
  <si>
    <t>YEAR</t>
  </si>
  <si>
    <t>New pension</t>
  </si>
  <si>
    <t>Annual Increase amount</t>
  </si>
  <si>
    <t>Annual Increase Amount</t>
  </si>
  <si>
    <t>Projected Digital Increase %</t>
  </si>
  <si>
    <t>Shortfall Against RPI Pension</t>
  </si>
  <si>
    <t>Cumulative Shortfall</t>
  </si>
  <si>
    <t>Total Pension Income over period</t>
  </si>
  <si>
    <t>Total income</t>
  </si>
  <si>
    <t>Gain over worst case scenario</t>
  </si>
  <si>
    <t>As % of Baseline</t>
  </si>
  <si>
    <t>NOTE: THESE SCENARIOS DO NOT INCLUDE ANY INTERVENTIONS THAT ATTEMPT TO MAKE UP FOR PAST LOSSES FOR PENSIONERS</t>
  </si>
  <si>
    <t xml:space="preserve"> </t>
  </si>
  <si>
    <t>Pension as % of RPI based Pension</t>
  </si>
  <si>
    <t>PERSONAL/INDIVIDUAL MODELLER</t>
  </si>
  <si>
    <t>30 YEAR TIMESCALE</t>
  </si>
  <si>
    <t>NOTE:</t>
  </si>
  <si>
    <t>MALE LIFE-EXPECTANCY</t>
  </si>
  <si>
    <t>FEMALE LIFE-EXPECTANCY</t>
  </si>
  <si>
    <t>?</t>
  </si>
  <si>
    <t>Years</t>
  </si>
  <si>
    <t>Shortfall againts RPI</t>
  </si>
  <si>
    <t>As % of RPI Pension</t>
  </si>
  <si>
    <t>Cmulative Shortfall</t>
  </si>
  <si>
    <t>YEAR RETIRED</t>
  </si>
  <si>
    <t>YEAR NUMBER</t>
  </si>
  <si>
    <t>AGE WHEN RETIRED</t>
  </si>
  <si>
    <t>RPI PENSION (000S)</t>
  </si>
  <si>
    <t>Year</t>
  </si>
  <si>
    <t>% increase</t>
  </si>
  <si>
    <t>Actual &amp; POTENTIAL increases</t>
  </si>
  <si>
    <t>Digital Increase %</t>
  </si>
  <si>
    <t>CURRENT YEAR</t>
  </si>
  <si>
    <t>% of RPI FROM 2021 Onwards</t>
  </si>
  <si>
    <t>Actual</t>
  </si>
  <si>
    <t>WORST CASE SCENARIO - CURRENT PENSION WITH FUTURE ZERO INFLATION RELATED INCREASES</t>
  </si>
  <si>
    <t>CURRENT AGE</t>
  </si>
  <si>
    <t>Discretionary Increases in Pensions</t>
  </si>
  <si>
    <t>Buying Power of 100 in 1988</t>
  </si>
  <si>
    <t>Digital</t>
  </si>
  <si>
    <t>Compaq</t>
  </si>
  <si>
    <t>HP</t>
  </si>
  <si>
    <t>RPI</t>
  </si>
  <si>
    <t>% of RPI</t>
  </si>
  <si>
    <t xml:space="preserve">To retain 1988 buying power, pension payments would need to increase by </t>
  </si>
  <si>
    <t>RPI BASED PENSION VALUE(£)</t>
  </si>
  <si>
    <t>Age</t>
  </si>
  <si>
    <t>Actual Pension as % of RPI based Pension</t>
  </si>
  <si>
    <t>ENTER</t>
  </si>
  <si>
    <t xml:space="preserve">CURRENT PENSION </t>
  </si>
  <si>
    <t>As % of AN ANNUAL RPI ADJUSTED Pension</t>
  </si>
  <si>
    <t>Cumulative Shortfall since date of retirement</t>
  </si>
  <si>
    <t>SHORTFALL AGAINST AN RPI PENSION</t>
  </si>
  <si>
    <t>DATE JOINED</t>
  </si>
  <si>
    <t>DATE LEFT</t>
  </si>
  <si>
    <t>YEARS</t>
  </si>
  <si>
    <t>AMOUNT</t>
  </si>
  <si>
    <t>%</t>
  </si>
  <si>
    <t>POST '97 INCREASE</t>
  </si>
  <si>
    <t>% OF PENSION</t>
  </si>
  <si>
    <t>YEARS SERVICE BEFORE 1997</t>
  </si>
  <si>
    <t>YEARS SERVICE AFTER 1997</t>
  </si>
  <si>
    <t>PERSON 1</t>
  </si>
  <si>
    <t>PENSION BUYING POWER</t>
  </si>
  <si>
    <t>% OF PENSION PRE '97</t>
  </si>
  <si>
    <t>% OF PENSION POST 97</t>
  </si>
  <si>
    <t>CURRENT SITUATION</t>
  </si>
  <si>
    <t>Martins inflation data</t>
  </si>
  <si>
    <t>THE IMPACT OF INFLATION</t>
  </si>
  <si>
    <t>RPI 2001 - 2020</t>
  </si>
  <si>
    <t>INCREASE</t>
  </si>
  <si>
    <t>% INCREASE</t>
  </si>
  <si>
    <t>CUMULATIVE</t>
  </si>
  <si>
    <t>IN RPI</t>
  </si>
  <si>
    <t>IN YEAR</t>
  </si>
  <si>
    <t>PAST RPI AND FUTURE RPI</t>
  </si>
  <si>
    <t>ALL</t>
  </si>
  <si>
    <t>Digital Increase % %</t>
  </si>
  <si>
    <t>1997 SPLIT OF PENSIONS</t>
  </si>
  <si>
    <t>TOTAL YEARS SERVICE</t>
  </si>
  <si>
    <t>ANONYMOUS</t>
  </si>
  <si>
    <t>YEARS RETIRED</t>
  </si>
  <si>
    <t>BEFORE TAX</t>
  </si>
  <si>
    <t>Current Year</t>
  </si>
  <si>
    <t>Forecast basd on user input</t>
  </si>
  <si>
    <t>Shortfall Against RPI Pension (Buy Power</t>
  </si>
  <si>
    <t>Digital Pension</t>
  </si>
  <si>
    <t>Starting Pension</t>
  </si>
  <si>
    <t>Your Pension Buying Power</t>
  </si>
  <si>
    <t>Notes:</t>
  </si>
  <si>
    <t>Cumulative Shortfall against RPI Pension</t>
  </si>
  <si>
    <t>AGE</t>
  </si>
  <si>
    <t>STARTING PENSION at Jan 1st of year</t>
  </si>
  <si>
    <t>CURRENT PENSION VALUE(£)</t>
  </si>
  <si>
    <t>YOUR PENSION CONTRIBUTIONS FOR THESE YEARS ONLY INCREASE WHEN DISCRETIONARY INCREASES ARE GRANTED</t>
  </si>
  <si>
    <t>YOUR PENSION CONTRIBUTIONS FOR THESE YEARS INCREASE EACH YEAR BY THE VALUE OF THE RETAIL PRICE INDEX (RPI)</t>
  </si>
  <si>
    <t>Note 1</t>
  </si>
  <si>
    <t>Note 2</t>
  </si>
  <si>
    <t>REGULAR INCREASE BY RPI EVERY 2 YEARS</t>
  </si>
  <si>
    <t>INCREASE BY 50% OF RPI EVERY YEAR WITH FULL RPI EVERY 3 YEARS</t>
  </si>
  <si>
    <t>REGULAR INCREASE BY 50% OF RPI EVERY YEAR</t>
  </si>
  <si>
    <t>SLIDING SCALE OF RPI BASED INCREASES OVER FUTURE HORIZON</t>
  </si>
  <si>
    <t xml:space="preserve"> Shortfall Against RPI INCREASES</t>
  </si>
  <si>
    <t>% OF RPI</t>
  </si>
  <si>
    <t>INCREASE TO PENSION</t>
  </si>
  <si>
    <t>NO REAL STRATEGY - assume 1% INCREASE EVERY 12 YEARS</t>
  </si>
  <si>
    <t>Growing by RPI increases</t>
  </si>
  <si>
    <t>Annual difference/reduced income</t>
  </si>
  <si>
    <t>Declining value due to Inflation</t>
  </si>
  <si>
    <t xml:space="preserve">TOTAL INCOME SHORTFALL </t>
  </si>
  <si>
    <t>Total Payments over period</t>
  </si>
  <si>
    <t xml:space="preserve">THE MODELLER ASSUMES YOU RETIRED ON 1ST JANUARY OF </t>
  </si>
  <si>
    <t>Annual pension at end of 30 years</t>
  </si>
  <si>
    <t>INCREASED TOTAL INCOME over period</t>
  </si>
  <si>
    <t>% GAIN over continued zero increases</t>
  </si>
  <si>
    <t>TOTAL INCREASE to annual pension over period</t>
  </si>
  <si>
    <t>REVISED CUMULATIVE LOSSES over period</t>
  </si>
  <si>
    <t>Annual Pension as % of an RPI Pension</t>
  </si>
  <si>
    <t>Annual Pension as % of an RPI Pension at end of period</t>
  </si>
  <si>
    <t>CUM PENSION PAID</t>
  </si>
  <si>
    <t>Pension</t>
  </si>
  <si>
    <t>Pension receiving annual RPI</t>
  </si>
  <si>
    <t>Cumulative Pension Income Received</t>
  </si>
  <si>
    <t>RPI Pension Cumulative Income</t>
  </si>
  <si>
    <t>CUMULATIVE RPI PENSION</t>
  </si>
  <si>
    <t>CUMULATIVE CURRENT PENSION VALUE(£)</t>
  </si>
  <si>
    <t>Digital Cumulative Income Shortfall against RPI</t>
  </si>
  <si>
    <t>SIMULATING ALTERNATIVE SCENARIOS - FUTURE INFLATION RATES AND THE IMPACT OF ALTERNATIVE "WHAT IF" STRATEGIES FOR FUTURE DISCRETIONARY INCREASES</t>
  </si>
  <si>
    <t>"WHAT IF" STRATEGIES FOR FUTURE DISCRETIONARY INCREASES</t>
  </si>
  <si>
    <t>STRATEGY AD-HOC</t>
  </si>
  <si>
    <t>STRATEGY - ETHICAL 1</t>
  </si>
  <si>
    <t>STRATEGY - ETHICAL 2</t>
  </si>
  <si>
    <t>STRATEGY - ETHICAL 3</t>
  </si>
  <si>
    <t>Cum pension</t>
  </si>
  <si>
    <t>STRATEGY - ETHICAL 4</t>
  </si>
  <si>
    <t>Digital Pension Value Difference with RPI Pension</t>
  </si>
  <si>
    <t>Cumulative Pension Paid</t>
  </si>
  <si>
    <t>Gain in pension value</t>
  </si>
  <si>
    <t>Cum Gain over Digital Pension</t>
  </si>
  <si>
    <t>Cum Gain over digital pension</t>
  </si>
  <si>
    <t>Pension will have increased by</t>
  </si>
  <si>
    <t xml:space="preserve">Total Additional Income Gained </t>
  </si>
  <si>
    <t>ETHICAL 1 - SHORTFALL</t>
  </si>
  <si>
    <t>ETHICAL 1 - BUY POWER</t>
  </si>
  <si>
    <t>ETHICAL 2 - BUY POWER</t>
  </si>
  <si>
    <t>ETHICAL 3 - BUY POWER</t>
  </si>
  <si>
    <t>ETHICAL 4 - BUY POWER</t>
  </si>
  <si>
    <t>AD-HOC STRATEGY - SHORTFALL</t>
  </si>
  <si>
    <t>ETHICAL 2- SHORTFALL</t>
  </si>
  <si>
    <t>ETHICAL 3 SHORTFALL</t>
  </si>
  <si>
    <t>ETHICAL 4 - SHORTFALL</t>
  </si>
  <si>
    <t>DETAILED VIEW  - COVERING 30 YEAR HORIZON</t>
  </si>
  <si>
    <t>SUMMARY VIEW  - UP TO AGE 84</t>
  </si>
  <si>
    <t>OVERALL IMPACT OF EACH STRATEGY TO CURRENT PENSION AND COMPARED TO FULL RPI PENSION - a 30 YEAR VIEW</t>
  </si>
  <si>
    <t>PERSON  1</t>
  </si>
  <si>
    <t>RPI used by the company</t>
  </si>
  <si>
    <t>DISCRETIONARY INCREASE VALUES TO BE USED FOR PRE 97 PENSIONERS  - PAST AND FUTURE AND TO SIMULATE VARIOUS STRATEGIES</t>
  </si>
  <si>
    <t>Actual &amp; FUTURE FORECASTS</t>
  </si>
  <si>
    <t>Discretionary increases Granted</t>
  </si>
  <si>
    <t>RPI and actual disctretionary increases granted</t>
  </si>
  <si>
    <t>Assumptions</t>
  </si>
  <si>
    <t>Grows with discretionary increase or Post '97 gains</t>
  </si>
  <si>
    <t>Historical RPI applied by Pension Plan and Personal Forecast RPI</t>
  </si>
  <si>
    <t>Pension with RPI applied</t>
  </si>
  <si>
    <t>Note 3</t>
  </si>
  <si>
    <t>AD-HOC STRATEGY - EXTREME LOW SCALE VARIABLE INTERVENTIONS WITH NO STRATEGY</t>
  </si>
  <si>
    <t>ETHICAL 1 - REGULAR RPI INCREASES EVERY 2 YEARS</t>
  </si>
  <si>
    <t>ETHICAL 2 - FIXED 50% OF RPI EVERY YEAR</t>
  </si>
  <si>
    <t>ETHICAL 3 - FIXED 50% OF RPI EVERY YEAR WITH RPI INCREASE EVERY 3RD YEAR</t>
  </si>
  <si>
    <t>ETHICAL 4 - SLIDING SCALE OF INFLATION BASED INCREASES OVER REMAINING LIFETIMES</t>
  </si>
  <si>
    <t>AD-HOC STRATEGY</t>
  </si>
  <si>
    <t>YEAR FROM WHEN POST 1997 SERVICE GETS AUTO INCREASE</t>
  </si>
  <si>
    <t>ETHICAL 1</t>
  </si>
  <si>
    <t>ETHICAL 2</t>
  </si>
  <si>
    <t>ETHICAL 3</t>
  </si>
  <si>
    <t>ETHICAL 4</t>
  </si>
  <si>
    <t>AD-HOC</t>
  </si>
  <si>
    <t>These tables for historical reference only - as used to build/create main table</t>
  </si>
  <si>
    <t>STRATEGY  AD-HOC</t>
  </si>
  <si>
    <t>Past and Future Projected Values - from age 55  to 84 (in 5 year increments)</t>
  </si>
  <si>
    <t xml:space="preserve">Comparison of actual pension increases against RPI based increases </t>
  </si>
  <si>
    <r>
      <t xml:space="preserve">Impact of "WHAT IF" </t>
    </r>
    <r>
      <rPr>
        <sz val="20"/>
        <color theme="1"/>
        <rFont val="Calibri"/>
        <family val="2"/>
        <scheme val="minor"/>
      </rPr>
      <t>simulation of alternative strategies  - from 2021 onwards</t>
    </r>
  </si>
  <si>
    <t>STRATEGY - AD HOC</t>
  </si>
  <si>
    <t>STRATEGY  - ETHICAL 4</t>
  </si>
  <si>
    <t>IF ANY OF THESE STRATEGIES WERE IMPLEMENTED  - THE POTENTIAL IMPACT IN HELPING TO REDUCE FUTURE "LOST INCOME' OVER REMAINING YEARS IS ESTIMATED AS FOLLOWS</t>
  </si>
  <si>
    <t xml:space="preserve"> CHANGE VALUE BELOW TO SIMULATE DIFFERENT RATE</t>
  </si>
  <si>
    <t>Total Income</t>
  </si>
  <si>
    <t>Buying Power of Pension as % of current pension</t>
  </si>
  <si>
    <t>Pension with discretionary increases</t>
  </si>
  <si>
    <t>Pension with RPI increases</t>
  </si>
  <si>
    <t>Pension shortfall against RPI Pension</t>
  </si>
  <si>
    <t>Buying Power ( Pension less shortfall)</t>
  </si>
  <si>
    <t>Difference in Total Incomes</t>
  </si>
  <si>
    <t>Cumulative Shortfall in income against RPI Pension</t>
  </si>
  <si>
    <t>Discretionary Pension Increase for Pre'97 service</t>
  </si>
  <si>
    <t>Past Actuals and Future Projections</t>
  </si>
  <si>
    <t>Actual &amp; SIMULATION  increases</t>
  </si>
  <si>
    <t>Simple compound approach</t>
  </si>
  <si>
    <t>Cumulative RPI</t>
  </si>
  <si>
    <t>Cumulative RPI approach from start</t>
  </si>
  <si>
    <t>New Pension</t>
  </si>
  <si>
    <t>BEST CASE SCENARIO - RPI INCREASE EVERY YEAR</t>
  </si>
  <si>
    <t>RPI APPROACH TO APPLY</t>
  </si>
  <si>
    <t>APPROACHES TO CALCULATING PENSION GAINS BY RPI</t>
  </si>
  <si>
    <t>SELECT 1 OR 2</t>
  </si>
  <si>
    <t xml:space="preserve">CUMULATIVELOSS OF INCOME </t>
  </si>
  <si>
    <t>Cumulative Increase amount</t>
  </si>
  <si>
    <t>As % of Pension Value</t>
  </si>
  <si>
    <t>SIMULATION OF "WHAT IF" STRATEGIES FROM 2021 ONWARDS</t>
  </si>
  <si>
    <t>Actual and Forecast</t>
  </si>
  <si>
    <t>Discretion</t>
  </si>
  <si>
    <t>Cumulative Difference</t>
  </si>
  <si>
    <t>Compaq Difference</t>
  </si>
  <si>
    <t>HP Difference</t>
  </si>
  <si>
    <t>Digital Difference</t>
  </si>
  <si>
    <t>Annual Difference</t>
  </si>
  <si>
    <t>Compaq Cumulative Difference</t>
  </si>
  <si>
    <t>HP Cumulative Difference</t>
  </si>
  <si>
    <t>BOX 1</t>
  </si>
  <si>
    <t>THEREFORE ANY INCREASE IN YOUR RETIREMENT YEAR IS FACTORED IN AS WELL AS THE CURRENT YEAR</t>
  </si>
  <si>
    <t>Enter Gross Annual Pension (after any tax-free lumpsum was taken)</t>
  </si>
  <si>
    <t>IF FULL RPI HAD BEEN GIVEN EACH YEAR - YOUR PENSION WOULD BE ESTIMATED TO BE WORTH TODAY</t>
  </si>
  <si>
    <t>AVERAGE ANNUAL INFLATION RATE FROM CURRENT YEAR ONWARDS</t>
  </si>
  <si>
    <t>This is an estimate using actual discretionary increases and any potential increase for the current year</t>
  </si>
  <si>
    <t>*This is calculated using actual historical RPI figures (see detailed view below) and estimate for this year</t>
  </si>
  <si>
    <t>THE DIFFERENCE BETWEEN YOUR CURRENT PENSION AND A PENSION INCREASED BY RPI EACH YEAR IS</t>
  </si>
  <si>
    <r>
      <t xml:space="preserve">ESTIMATED PENSION VALUE FOR CURRENT YEAR </t>
    </r>
    <r>
      <rPr>
        <sz val="18"/>
        <color theme="1"/>
        <rFont val="Calibri"/>
        <family val="2"/>
        <scheme val="minor"/>
      </rPr>
      <t>(Refer to detailed tables below)</t>
    </r>
  </si>
  <si>
    <t xml:space="preserve">Your current pension is estimated at being </t>
  </si>
  <si>
    <t>YOUR CURRENT PENSION  WITH INCREASES SINCE RETIREMENT IS ESTIMATED AT BEING APPROXIMATELY</t>
  </si>
  <si>
    <t>THE PRESENT "BUYING POWER" OF YOUR CURRENT PENSION IS ESTIMATED AS</t>
  </si>
  <si>
    <t>AT AGE 84 - THE VALUE OF YOUR PENSION IS ESTIMATED TO BE</t>
  </si>
  <si>
    <t>This is based on continued zero discretionary increases being given over all future years</t>
  </si>
  <si>
    <t>AT AGE 84 - IF YOUR PENSION INCREASED EVERY YEAR WITH RPI IT WOULD BE ESTIMATED TO BE</t>
  </si>
  <si>
    <t>This is based on using a DEFAULT VALUE for a forecasted annual rate of inflation over future years</t>
  </si>
  <si>
    <t>AT AGE 84 - CUMULATIVE AMOUNT OF "LOST" INCOME COMPARED TO A PENSION THAT INCREASED WITH RPI</t>
  </si>
  <si>
    <t>BOX 2</t>
  </si>
  <si>
    <t>of the value of your pension when you retired</t>
  </si>
  <si>
    <t>CUMULATIVE AMOUNT OF "LOST" INCOME SINCE RETIREMENT TO THE CURRENT YEAR IS ESTIMATED  AT</t>
  </si>
  <si>
    <t>Total cumulative income from actual pension compared with total cumulative income from an RPI pension</t>
  </si>
  <si>
    <t>These results are based on using A DEFAULT VALUE forecast rate of inflation % per year</t>
  </si>
  <si>
    <t xml:space="preserve">Your current pension buying power is estimated at being </t>
  </si>
  <si>
    <t>in current year</t>
  </si>
  <si>
    <t xml:space="preserve">At age 84 - your pension buying power is estimated to be </t>
  </si>
  <si>
    <t>Pension buying as % of RPI Pnsion</t>
  </si>
  <si>
    <t>AT AGE 84 - THE "BUYING POWER" OF YOUR PENSION IS ESTIMATED TO BE</t>
  </si>
  <si>
    <t>ESTIMATED IMPACT ASSESSMENT - FROM YEAR OF RETIREMENT TO CURRENT YEAR</t>
  </si>
  <si>
    <t>ESTIMATED IMPACT ASSESSMENT - FROM YEAR OF RETIREMENT TO AGE 84</t>
  </si>
  <si>
    <t xml:space="preserve">AT AGE 84 - your pension is estimated at being </t>
  </si>
  <si>
    <r>
      <t xml:space="preserve">of the value of your pension </t>
    </r>
    <r>
      <rPr>
        <b/>
        <sz val="14"/>
        <color rgb="FFC00000"/>
        <rFont val="Calibri (Body)_x0000_"/>
      </rPr>
      <t>had it always risen by RPI to the present time</t>
    </r>
  </si>
  <si>
    <r>
      <t xml:space="preserve">of the value of your pension </t>
    </r>
    <r>
      <rPr>
        <b/>
        <sz val="14"/>
        <color rgb="FFC00000"/>
        <rFont val="Calibri (Body)_x0000_"/>
      </rPr>
      <t>had it always risen by RPI to this age</t>
    </r>
  </si>
  <si>
    <t>based on the default value used below</t>
  </si>
  <si>
    <t>SIMULATING ALTERNATIVE "WHAT IF" SCENARIOS &amp; RATES OF INFLATION</t>
  </si>
  <si>
    <t xml:space="preserve">THESE FIGURES SHOULD HOPEFULLY BE A REASONABLE INDICATIVE ESTIMATE - HOWEVER - THEY MAY BE MARGINALLY LOWER THAN ACTUAL DEPENDING ON YEARS SERVICE BEFORE 1997 AND YEAR RETIRED. YOU MUST FACTOR THESE VARIANCES INTO ANY CONCLUSIONS ABOUT PENSION IMPACTS OVER THE TIME HORIZON AND POTENTIAL LIFETIME. </t>
  </si>
  <si>
    <t>If this value is the exact same as when you retired - it indicates that all years service are pre-1997 and you retired after 2008 - however there are likely to be small increments in your actual pension based on other factors that the model does not/cannot represent.</t>
  </si>
  <si>
    <r>
      <t>DIGITAL PENSION : IMPACT MODELLER / SIMULATOR - AN INDICATIVE VIEW SPANNING 30 YEARS</t>
    </r>
    <r>
      <rPr>
        <b/>
        <i/>
        <sz val="18"/>
        <color rgb="FFFF0000"/>
        <rFont val="Calibri (Body)_x0000_"/>
      </rPr>
      <t xml:space="preserve"> (REFER TO THE GUIDE BEFORE USING THIS MODELLER)</t>
    </r>
  </si>
  <si>
    <t>GRAPH USED FOR PRESENTATION PACK PURPOSES ONLY</t>
  </si>
  <si>
    <t>RETIRED YEAR ENTERED BY USER</t>
  </si>
  <si>
    <t>FOR A DEFERRED PERSON WHO MAY EXPERIMENT WITH MODELLR - THIS YEAR WILL CHANGE</t>
  </si>
  <si>
    <t>YEAR BORN</t>
  </si>
  <si>
    <t>YEAR JOINED</t>
  </si>
  <si>
    <t>YEAR LEFT</t>
  </si>
  <si>
    <t>THE MODELLER IS USEFUL FOR RETIREMENT DATES FROM 1992 ONWARDS</t>
  </si>
  <si>
    <r>
      <t xml:space="preserve">ONLY ENTER VALUES IN THE </t>
    </r>
    <r>
      <rPr>
        <b/>
        <sz val="18"/>
        <color rgb="FFFFFF00"/>
        <rFont val="Calibri (Body)_x0000_"/>
      </rPr>
      <t xml:space="preserve">YELLOW </t>
    </r>
    <r>
      <rPr>
        <b/>
        <sz val="18"/>
        <color theme="0"/>
        <rFont val="Calibri"/>
        <family val="2"/>
        <scheme val="minor"/>
      </rPr>
      <t>BOXES WHERE IT SAYS ENTER AND DOUBLE-CHECK ACCURACY - do not alter any other values</t>
    </r>
  </si>
  <si>
    <t>YEAR RETIRED (or anticipated future year of retirement if Deferred)</t>
  </si>
  <si>
    <t>AGE WHEN RETIRED ( This number is calculated and will be older than current age if YEAR RETIRED is in the future)</t>
  </si>
  <si>
    <t xml:space="preserve">Your pension is made up of various elements and complex calculations - this modeller therefore cannot be totally accurate. You are asked to verify degree of accuracy against your actual personal data and provide feedback. Special circumstances like Pension transfers or using redundancy payments to uplift pension contributions are not catered for. </t>
  </si>
  <si>
    <t>PENSION VALUE AT FIRST YEAR OF RETIREMENT (whole number - no decimals)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</si>
</sst>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4" formatCode="_(&quot;£&quot;* #,##0.00_);_(&quot;£&quot;* \(#,##0.00\);_(&quot;£&quot;* &quot;-&quot;??_);_(@_)"/>
    <numFmt numFmtId="43" formatCode="_(* #,##0.00_);_(* \(#,##0.00\);_(* &quot;-&quot;??_);_(@_)"/>
    <numFmt numFmtId="164" formatCode="_(* #,##0.0_);_(* \(#,##0.0\);_(* &quot;-&quot;??_);_(@_)"/>
    <numFmt numFmtId="165" formatCode="_(* #,##0_);_(* \(#,##0\);_(* &quot;-&quot;??_);_(@_)"/>
    <numFmt numFmtId="166" formatCode="0.0%"/>
    <numFmt numFmtId="167" formatCode="#,##0.0_);\(#,##0.0\)"/>
    <numFmt numFmtId="168" formatCode="0.000%"/>
    <numFmt numFmtId="169" formatCode="&quot;£&quot;#,##0"/>
    <numFmt numFmtId="170" formatCode="0.0"/>
    <numFmt numFmtId="171" formatCode="#,##0.0"/>
  </numFmts>
  <fonts count="38">
    <font>
      <sz val="11"/>
      <color theme="1"/>
      <name val="Calibri"/>
      <family val="2"/>
      <scheme val="minor"/>
    </font>
    <font>
      <sz val="12"/>
      <color theme="1"/>
      <name val="Calibri"/>
      <family val="2"/>
      <scheme val="minor"/>
    </font>
    <font>
      <sz val="11"/>
      <color theme="1"/>
      <name val="Times New Roman"/>
      <family val="1"/>
    </font>
    <font>
      <b/>
      <sz val="11"/>
      <color theme="1"/>
      <name val="Times New Roman"/>
      <family val="1"/>
    </font>
    <font>
      <sz val="11"/>
      <color theme="1"/>
      <name val="Calibri"/>
      <family val="2"/>
      <scheme val="minor"/>
    </font>
    <font>
      <b/>
      <sz val="11"/>
      <color theme="1"/>
      <name val="Calibri"/>
      <family val="2"/>
      <scheme val="minor"/>
    </font>
    <font>
      <b/>
      <sz val="12"/>
      <color theme="0"/>
      <name val="Calibri"/>
      <family val="2"/>
      <scheme val="minor"/>
    </font>
    <font>
      <b/>
      <sz val="12"/>
      <color theme="1"/>
      <name val="Calibri"/>
      <family val="2"/>
      <scheme val="minor"/>
    </font>
    <font>
      <b/>
      <sz val="14"/>
      <color theme="1"/>
      <name val="Calibri"/>
      <family val="2"/>
      <scheme val="minor"/>
    </font>
    <font>
      <sz val="11"/>
      <color rgb="FF000000"/>
      <name val="Calibri"/>
      <family val="2"/>
      <scheme val="minor"/>
    </font>
    <font>
      <b/>
      <sz val="16"/>
      <color theme="1"/>
      <name val="Calibri"/>
      <family val="2"/>
      <scheme val="minor"/>
    </font>
    <font>
      <b/>
      <sz val="18"/>
      <color theme="1"/>
      <name val="Calibri"/>
      <family val="2"/>
      <scheme val="minor"/>
    </font>
    <font>
      <b/>
      <sz val="14"/>
      <color theme="0"/>
      <name val="Times New Roman"/>
      <family val="1"/>
    </font>
    <font>
      <sz val="14"/>
      <color theme="1"/>
      <name val="Calibri"/>
      <family val="2"/>
      <scheme val="minor"/>
    </font>
    <font>
      <b/>
      <sz val="11"/>
      <color theme="0"/>
      <name val="Calibri"/>
      <family val="2"/>
      <scheme val="minor"/>
    </font>
    <font>
      <b/>
      <sz val="22"/>
      <color theme="1"/>
      <name val="Calibri"/>
      <family val="2"/>
      <scheme val="minor"/>
    </font>
    <font>
      <sz val="11"/>
      <name val="Calibri"/>
      <family val="2"/>
      <scheme val="minor"/>
    </font>
    <font>
      <b/>
      <sz val="11"/>
      <color rgb="FFFFFFFF"/>
      <name val="Calibri"/>
      <family val="2"/>
      <scheme val="minor"/>
    </font>
    <font>
      <sz val="11"/>
      <color theme="0"/>
      <name val="Calibri"/>
      <family val="2"/>
      <scheme val="minor"/>
    </font>
    <font>
      <sz val="8"/>
      <color theme="1"/>
      <name val="Calibri"/>
      <family val="2"/>
      <scheme val="minor"/>
    </font>
    <font>
      <b/>
      <sz val="11"/>
      <color rgb="FF000000"/>
      <name val="Calibri"/>
      <family val="2"/>
      <scheme val="minor"/>
    </font>
    <font>
      <b/>
      <sz val="20"/>
      <color theme="1"/>
      <name val="Calibri"/>
      <family val="2"/>
      <scheme val="minor"/>
    </font>
    <font>
      <sz val="16"/>
      <color theme="1"/>
      <name val="Calibri"/>
      <family val="2"/>
      <scheme val="minor"/>
    </font>
    <font>
      <b/>
      <sz val="12"/>
      <color rgb="FFC00000"/>
      <name val="Calibri"/>
      <family val="2"/>
      <scheme val="minor"/>
    </font>
    <font>
      <b/>
      <sz val="14"/>
      <color rgb="FFC00000"/>
      <name val="Calibri"/>
      <family val="2"/>
      <scheme val="minor"/>
    </font>
    <font>
      <b/>
      <sz val="18"/>
      <color theme="0"/>
      <name val="Calibri"/>
      <family val="2"/>
      <scheme val="minor"/>
    </font>
    <font>
      <b/>
      <sz val="18"/>
      <color rgb="FF000000"/>
      <name val="Calibri"/>
      <family val="2"/>
      <scheme val="minor"/>
    </font>
    <font>
      <sz val="20"/>
      <color theme="1"/>
      <name val="Calibri"/>
      <family val="2"/>
      <scheme val="minor"/>
    </font>
    <font>
      <b/>
      <sz val="24"/>
      <color theme="1"/>
      <name val="Calibri"/>
      <family val="2"/>
      <scheme val="minor"/>
    </font>
    <font>
      <b/>
      <sz val="12"/>
      <color rgb="FF000000"/>
      <name val="Calibri"/>
      <family val="2"/>
      <scheme val="minor"/>
    </font>
    <font>
      <b/>
      <sz val="14"/>
      <color rgb="FF000000"/>
      <name val="Calibri"/>
      <family val="2"/>
      <scheme val="minor"/>
    </font>
    <font>
      <b/>
      <sz val="14"/>
      <color theme="0"/>
      <name val="Calibri"/>
      <family val="2"/>
      <scheme val="minor"/>
    </font>
    <font>
      <b/>
      <sz val="20"/>
      <color theme="0"/>
      <name val="Calibri"/>
      <family val="2"/>
      <scheme val="minor"/>
    </font>
    <font>
      <sz val="18"/>
      <color theme="1"/>
      <name val="Calibri"/>
      <family val="2"/>
      <scheme val="minor"/>
    </font>
    <font>
      <b/>
      <sz val="14"/>
      <color rgb="FFC00000"/>
      <name val="Calibri (Body)_x0000_"/>
    </font>
    <font>
      <b/>
      <i/>
      <sz val="18"/>
      <color rgb="FFFF0000"/>
      <name val="Calibri (Body)_x0000_"/>
    </font>
    <font>
      <sz val="14"/>
      <color theme="0"/>
      <name val="Calibri"/>
      <family val="2"/>
      <scheme val="minor"/>
    </font>
    <font>
      <b/>
      <sz val="18"/>
      <color rgb="FFFFFF00"/>
      <name val="Calibri (Body)_x0000_"/>
    </font>
  </fonts>
  <fills count="2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rgb="FFC00000"/>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rgb="FF44546A"/>
        <bgColor rgb="FF000000"/>
      </patternFill>
    </fill>
    <fill>
      <patternFill patternType="solid">
        <fgColor rgb="FFFFFF00"/>
        <bgColor rgb="FF000000"/>
      </patternFill>
    </fill>
    <fill>
      <patternFill patternType="solid">
        <fgColor theme="6" tint="0.59999389629810485"/>
        <bgColor indexed="64"/>
      </patternFill>
    </fill>
    <fill>
      <patternFill patternType="solid">
        <fgColor theme="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tint="-4.9989318521683403E-2"/>
        <bgColor rgb="FF000000"/>
      </patternFill>
    </fill>
    <fill>
      <patternFill patternType="solid">
        <fgColor theme="9" tint="0.39997558519241921"/>
        <bgColor indexed="64"/>
      </patternFill>
    </fill>
    <fill>
      <patternFill patternType="solid">
        <fgColor rgb="FFFFC000"/>
        <bgColor indexed="64"/>
      </patternFill>
    </fill>
    <fill>
      <patternFill patternType="solid">
        <fgColor theme="2" tint="-9.9978637043366805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style="thin">
        <color indexed="64"/>
      </top>
      <bottom/>
      <diagonal/>
    </border>
    <border>
      <left style="thin">
        <color indexed="64"/>
      </left>
      <right style="thin">
        <color indexed="64"/>
      </right>
      <top style="medium">
        <color rgb="FF7030A0"/>
      </top>
      <bottom style="medium">
        <color rgb="FF7030A0"/>
      </bottom>
      <diagonal/>
    </border>
    <border>
      <left/>
      <right/>
      <top style="medium">
        <color rgb="FF7030A0"/>
      </top>
      <bottom style="medium">
        <color rgb="FF7030A0"/>
      </bottom>
      <diagonal/>
    </border>
    <border>
      <left style="thin">
        <color indexed="64"/>
      </left>
      <right style="medium">
        <color rgb="FF7030A0"/>
      </right>
      <top style="medium">
        <color rgb="FF7030A0"/>
      </top>
      <bottom style="medium">
        <color rgb="FF7030A0"/>
      </bottom>
      <diagonal/>
    </border>
    <border>
      <left style="thin">
        <color theme="1"/>
      </left>
      <right style="thin">
        <color theme="1"/>
      </right>
      <top style="thin">
        <color theme="1"/>
      </top>
      <bottom style="thin">
        <color theme="1"/>
      </bottom>
      <diagonal/>
    </border>
    <border>
      <left/>
      <right style="thin">
        <color indexed="64"/>
      </right>
      <top style="medium">
        <color rgb="FF7030A0"/>
      </top>
      <bottom style="medium">
        <color rgb="FF7030A0"/>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top style="thin">
        <color indexed="64"/>
      </top>
      <bottom/>
      <diagonal/>
    </border>
    <border>
      <left/>
      <right/>
      <top/>
      <bottom style="thin">
        <color indexed="64"/>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s>
  <cellStyleXfs count="4">
    <xf numFmtId="0" fontId="0"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cellStyleXfs>
  <cellXfs count="690">
    <xf numFmtId="0" fontId="0" fillId="0" borderId="0" xfId="0"/>
    <xf numFmtId="0" fontId="0" fillId="0" borderId="0" xfId="0" applyAlignment="1">
      <alignment horizontal="center" vertical="center" wrapText="1"/>
    </xf>
    <xf numFmtId="0" fontId="5" fillId="0" borderId="0" xfId="0" applyFont="1" applyBorder="1" applyAlignment="1">
      <alignment horizontal="center"/>
    </xf>
    <xf numFmtId="165" fontId="0" fillId="0" borderId="0" xfId="0" applyNumberFormat="1"/>
    <xf numFmtId="0" fontId="3" fillId="0" borderId="0" xfId="0" applyFont="1" applyBorder="1" applyAlignment="1">
      <alignment horizontal="center"/>
    </xf>
    <xf numFmtId="165" fontId="2" fillId="0" borderId="1" xfId="1" applyNumberFormat="1" applyFont="1" applyBorder="1" applyAlignment="1">
      <alignment horizontal="center"/>
    </xf>
    <xf numFmtId="165" fontId="5" fillId="0" borderId="2" xfId="0" applyNumberFormat="1" applyFont="1" applyBorder="1"/>
    <xf numFmtId="1" fontId="0" fillId="0" borderId="1" xfId="0" applyNumberFormat="1" applyBorder="1" applyAlignment="1">
      <alignment horizontal="center"/>
    </xf>
    <xf numFmtId="165" fontId="0" fillId="0" borderId="1" xfId="1" applyNumberFormat="1" applyFont="1" applyBorder="1" applyAlignment="1"/>
    <xf numFmtId="165" fontId="0" fillId="0" borderId="1" xfId="0" applyNumberFormat="1" applyBorder="1"/>
    <xf numFmtId="165" fontId="2" fillId="0" borderId="5" xfId="1" applyNumberFormat="1" applyFont="1" applyBorder="1" applyAlignment="1">
      <alignment horizontal="center"/>
    </xf>
    <xf numFmtId="0" fontId="3" fillId="0" borderId="5" xfId="0" applyFont="1" applyFill="1" applyBorder="1" applyAlignment="1">
      <alignment horizontal="center" vertical="center" wrapText="1"/>
    </xf>
    <xf numFmtId="0" fontId="3" fillId="0" borderId="5" xfId="0" applyFont="1" applyBorder="1" applyAlignment="1">
      <alignment horizontal="center" vertical="center" wrapText="1"/>
    </xf>
    <xf numFmtId="165" fontId="5" fillId="0" borderId="8" xfId="0" applyNumberFormat="1" applyFont="1" applyBorder="1"/>
    <xf numFmtId="9" fontId="0" fillId="0" borderId="0" xfId="2" applyFont="1" applyFill="1" applyBorder="1"/>
    <xf numFmtId="9" fontId="0" fillId="0" borderId="2" xfId="2" applyFont="1" applyFill="1" applyBorder="1" applyAlignment="1"/>
    <xf numFmtId="0" fontId="5" fillId="0" borderId="0" xfId="0" applyFont="1" applyBorder="1" applyAlignment="1">
      <alignment horizontal="center" vertical="center" wrapText="1"/>
    </xf>
    <xf numFmtId="165" fontId="5" fillId="0" borderId="1" xfId="0" applyNumberFormat="1" applyFont="1" applyBorder="1"/>
    <xf numFmtId="9" fontId="0" fillId="0" borderId="1" xfId="2" applyFont="1" applyBorder="1"/>
    <xf numFmtId="0" fontId="8" fillId="0" borderId="0" xfId="0" applyFont="1"/>
    <xf numFmtId="9" fontId="0" fillId="0" borderId="0" xfId="2" applyFont="1"/>
    <xf numFmtId="0" fontId="3" fillId="0" borderId="12" xfId="0" applyFont="1" applyBorder="1" applyAlignment="1">
      <alignment horizontal="center" vertical="center" wrapText="1"/>
    </xf>
    <xf numFmtId="0" fontId="3" fillId="0" borderId="12" xfId="0" applyFont="1" applyFill="1" applyBorder="1" applyAlignment="1">
      <alignment horizontal="center" vertical="center" wrapText="1"/>
    </xf>
    <xf numFmtId="165" fontId="0" fillId="0" borderId="5" xfId="1" applyNumberFormat="1" applyFont="1" applyBorder="1" applyAlignment="1"/>
    <xf numFmtId="165" fontId="0" fillId="0" borderId="5" xfId="0" applyNumberFormat="1" applyBorder="1"/>
    <xf numFmtId="0" fontId="3" fillId="0" borderId="15" xfId="0" applyFont="1" applyFill="1" applyBorder="1" applyAlignment="1">
      <alignment horizontal="center" vertical="center" wrapText="1"/>
    </xf>
    <xf numFmtId="9" fontId="5" fillId="2" borderId="1" xfId="2" applyFont="1" applyFill="1" applyBorder="1" applyAlignment="1">
      <alignment horizontal="center"/>
    </xf>
    <xf numFmtId="0" fontId="3" fillId="2" borderId="2" xfId="0" applyFont="1" applyFill="1" applyBorder="1" applyAlignment="1">
      <alignment horizontal="center" vertical="center" wrapText="1"/>
    </xf>
    <xf numFmtId="165" fontId="5" fillId="0" borderId="0" xfId="0" applyNumberFormat="1" applyFont="1" applyBorder="1"/>
    <xf numFmtId="0" fontId="5" fillId="0" borderId="0" xfId="0" applyFont="1"/>
    <xf numFmtId="0" fontId="7" fillId="8" borderId="1" xfId="0" applyFont="1" applyFill="1" applyBorder="1" applyAlignment="1">
      <alignment horizontal="center" vertical="center" wrapText="1"/>
    </xf>
    <xf numFmtId="0" fontId="0" fillId="0" borderId="11" xfId="0" applyBorder="1" applyAlignment="1">
      <alignment horizontal="center"/>
    </xf>
    <xf numFmtId="166" fontId="0" fillId="0" borderId="1" xfId="2" applyNumberFormat="1" applyFont="1" applyBorder="1" applyAlignment="1">
      <alignment horizontal="center"/>
    </xf>
    <xf numFmtId="0" fontId="0" fillId="0" borderId="5" xfId="0" applyBorder="1" applyAlignment="1">
      <alignment horizontal="center"/>
    </xf>
    <xf numFmtId="165" fontId="5" fillId="0" borderId="29" xfId="0" applyNumberFormat="1" applyFont="1" applyBorder="1"/>
    <xf numFmtId="9" fontId="5" fillId="9" borderId="1" xfId="2" applyFont="1" applyFill="1" applyBorder="1" applyAlignment="1">
      <alignment horizontal="center"/>
    </xf>
    <xf numFmtId="0" fontId="0" fillId="0" borderId="1" xfId="0" applyBorder="1"/>
    <xf numFmtId="0" fontId="13" fillId="0" borderId="0" xfId="0" applyFont="1"/>
    <xf numFmtId="43" fontId="0" fillId="0" borderId="0" xfId="0" applyNumberFormat="1"/>
    <xf numFmtId="0" fontId="5" fillId="0" borderId="0" xfId="0" applyFont="1" applyFill="1" applyBorder="1" applyAlignment="1">
      <alignment horizontal="center" vertical="center" wrapText="1"/>
    </xf>
    <xf numFmtId="9" fontId="5" fillId="12" borderId="1" xfId="2" applyFont="1" applyFill="1" applyBorder="1" applyAlignment="1">
      <alignment horizontal="center"/>
    </xf>
    <xf numFmtId="9" fontId="5" fillId="13" borderId="1" xfId="2" applyFont="1" applyFill="1" applyBorder="1" applyAlignment="1">
      <alignment horizontal="center"/>
    </xf>
    <xf numFmtId="165" fontId="12" fillId="11" borderId="2" xfId="1" applyNumberFormat="1" applyFont="1" applyFill="1" applyBorder="1" applyAlignment="1">
      <alignment horizontal="center"/>
    </xf>
    <xf numFmtId="0" fontId="8" fillId="0" borderId="0" xfId="0" applyFont="1" applyBorder="1" applyAlignment="1">
      <alignment horizontal="center" vertical="center" wrapText="1"/>
    </xf>
    <xf numFmtId="0" fontId="15" fillId="0" borderId="0" xfId="0" applyFont="1" applyFill="1" applyBorder="1" applyAlignment="1">
      <alignment horizontal="center"/>
    </xf>
    <xf numFmtId="0" fontId="0" fillId="0" borderId="24" xfId="0" applyBorder="1" applyAlignment="1">
      <alignment horizontal="center"/>
    </xf>
    <xf numFmtId="165" fontId="2" fillId="0" borderId="24" xfId="1" applyNumberFormat="1" applyFont="1" applyBorder="1" applyAlignment="1">
      <alignment horizontal="center"/>
    </xf>
    <xf numFmtId="165" fontId="0" fillId="0" borderId="24" xfId="1" applyNumberFormat="1" applyFont="1" applyBorder="1" applyAlignment="1"/>
    <xf numFmtId="165" fontId="0" fillId="0" borderId="24" xfId="0" applyNumberFormat="1" applyBorder="1"/>
    <xf numFmtId="0" fontId="0" fillId="0" borderId="32" xfId="0" applyBorder="1" applyAlignment="1">
      <alignment horizontal="center"/>
    </xf>
    <xf numFmtId="165" fontId="2" fillId="0" borderId="33" xfId="1" applyNumberFormat="1" applyFont="1" applyBorder="1" applyAlignment="1">
      <alignment horizontal="center"/>
    </xf>
    <xf numFmtId="0" fontId="0" fillId="0" borderId="34" xfId="0" applyBorder="1"/>
    <xf numFmtId="165" fontId="0" fillId="0" borderId="33" xfId="1" applyNumberFormat="1" applyFont="1" applyBorder="1" applyAlignment="1"/>
    <xf numFmtId="165" fontId="0" fillId="0" borderId="33" xfId="0" applyNumberFormat="1" applyBorder="1"/>
    <xf numFmtId="165" fontId="0" fillId="0" borderId="35" xfId="0" applyNumberFormat="1" applyBorder="1"/>
    <xf numFmtId="0" fontId="0" fillId="0" borderId="36" xfId="0" applyBorder="1" applyAlignment="1">
      <alignment horizontal="center" vertical="center" wrapText="1"/>
    </xf>
    <xf numFmtId="0" fontId="5" fillId="0" borderId="36" xfId="0" applyFont="1" applyBorder="1" applyAlignment="1">
      <alignment horizontal="center"/>
    </xf>
    <xf numFmtId="0" fontId="0" fillId="0" borderId="36" xfId="0" applyBorder="1" applyAlignment="1">
      <alignment horizontal="center"/>
    </xf>
    <xf numFmtId="165" fontId="0" fillId="0" borderId="36" xfId="0" applyNumberFormat="1" applyBorder="1"/>
    <xf numFmtId="166" fontId="0" fillId="0" borderId="36" xfId="2" applyNumberFormat="1" applyFont="1" applyBorder="1"/>
    <xf numFmtId="0" fontId="5" fillId="6" borderId="36" xfId="0" applyFont="1" applyFill="1" applyBorder="1"/>
    <xf numFmtId="0" fontId="5" fillId="6" borderId="36" xfId="0" applyFont="1" applyFill="1"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166" fontId="4" fillId="0" borderId="36" xfId="2" applyNumberFormat="1" applyFont="1" applyBorder="1" applyAlignment="1"/>
    <xf numFmtId="165" fontId="0" fillId="0" borderId="36" xfId="0" applyNumberFormat="1" applyFont="1" applyBorder="1" applyAlignment="1"/>
    <xf numFmtId="166" fontId="0" fillId="0" borderId="0" xfId="2" applyNumberFormat="1" applyFont="1"/>
    <xf numFmtId="0" fontId="0" fillId="0" borderId="0" xfId="0" applyBorder="1"/>
    <xf numFmtId="0" fontId="0" fillId="0" borderId="5" xfId="0" applyBorder="1"/>
    <xf numFmtId="0" fontId="14" fillId="16" borderId="1" xfId="0" applyFont="1" applyFill="1" applyBorder="1" applyAlignment="1">
      <alignment horizontal="center"/>
    </xf>
    <xf numFmtId="0" fontId="0" fillId="0" borderId="24" xfId="0" applyFont="1" applyBorder="1" applyAlignment="1">
      <alignment horizontal="center"/>
    </xf>
    <xf numFmtId="0" fontId="0" fillId="0" borderId="12" xfId="0" applyFont="1" applyBorder="1" applyAlignment="1">
      <alignment horizontal="center"/>
    </xf>
    <xf numFmtId="0" fontId="0" fillId="0" borderId="45" xfId="0" applyFont="1" applyFill="1" applyBorder="1" applyAlignment="1">
      <alignment horizontal="center"/>
    </xf>
    <xf numFmtId="0" fontId="0" fillId="0" borderId="12" xfId="0" applyFont="1" applyFill="1" applyBorder="1" applyAlignment="1">
      <alignment horizontal="center"/>
    </xf>
    <xf numFmtId="0" fontId="0" fillId="0" borderId="5" xfId="0" applyFont="1" applyFill="1" applyBorder="1" applyAlignment="1">
      <alignment horizontal="center"/>
    </xf>
    <xf numFmtId="166" fontId="16" fillId="0" borderId="0" xfId="0" applyNumberFormat="1" applyFont="1" applyBorder="1"/>
    <xf numFmtId="9" fontId="16" fillId="0" borderId="0" xfId="0" applyNumberFormat="1" applyFont="1" applyBorder="1"/>
    <xf numFmtId="166" fontId="0" fillId="0" borderId="0" xfId="0" applyNumberFormat="1" applyFont="1" applyBorder="1"/>
    <xf numFmtId="9" fontId="0" fillId="0" borderId="0" xfId="0" applyNumberFormat="1" applyFont="1" applyBorder="1"/>
    <xf numFmtId="9" fontId="0" fillId="0" borderId="49" xfId="0" applyNumberFormat="1" applyFont="1" applyBorder="1"/>
    <xf numFmtId="0" fontId="0" fillId="2" borderId="0" xfId="0" applyFill="1"/>
    <xf numFmtId="0" fontId="0" fillId="0" borderId="1" xfId="0" applyFont="1" applyBorder="1" applyAlignment="1">
      <alignment horizontal="center"/>
    </xf>
    <xf numFmtId="166" fontId="16" fillId="0" borderId="1" xfId="0" applyNumberFormat="1" applyFont="1" applyBorder="1" applyAlignment="1">
      <alignment vertical="center"/>
    </xf>
    <xf numFmtId="0" fontId="0" fillId="0" borderId="1" xfId="0" applyFont="1" applyFill="1" applyBorder="1" applyAlignment="1">
      <alignment horizontal="center"/>
    </xf>
    <xf numFmtId="9" fontId="0" fillId="0" borderId="1" xfId="0" applyNumberFormat="1" applyFont="1" applyFill="1" applyBorder="1"/>
    <xf numFmtId="0" fontId="14" fillId="16" borderId="12" xfId="0" applyFont="1" applyFill="1" applyBorder="1" applyAlignment="1">
      <alignment horizontal="center"/>
    </xf>
    <xf numFmtId="0" fontId="17" fillId="17" borderId="12" xfId="0" applyFont="1" applyFill="1" applyBorder="1" applyAlignment="1">
      <alignment horizontal="center"/>
    </xf>
    <xf numFmtId="0" fontId="9" fillId="0" borderId="5" xfId="0" applyFont="1" applyBorder="1" applyAlignment="1">
      <alignment horizontal="center"/>
    </xf>
    <xf numFmtId="10" fontId="16" fillId="0" borderId="1" xfId="0" applyNumberFormat="1" applyFont="1" applyBorder="1" applyAlignment="1">
      <alignment vertical="center"/>
    </xf>
    <xf numFmtId="10" fontId="16" fillId="0" borderId="1" xfId="0" applyNumberFormat="1" applyFont="1" applyBorder="1"/>
    <xf numFmtId="0" fontId="0" fillId="13" borderId="1" xfId="0" applyFont="1" applyFill="1" applyBorder="1" applyAlignment="1">
      <alignment horizontal="center"/>
    </xf>
    <xf numFmtId="0" fontId="0" fillId="14" borderId="1" xfId="0" applyFont="1" applyFill="1" applyBorder="1" applyAlignment="1">
      <alignment horizontal="center"/>
    </xf>
    <xf numFmtId="0" fontId="9" fillId="14" borderId="5" xfId="0" applyFont="1" applyFill="1" applyBorder="1" applyAlignment="1">
      <alignment horizontal="center"/>
    </xf>
    <xf numFmtId="166" fontId="0" fillId="0" borderId="1" xfId="2" applyNumberFormat="1" applyFont="1" applyBorder="1"/>
    <xf numFmtId="166" fontId="7" fillId="0" borderId="1" xfId="2" applyNumberFormat="1" applyFont="1" applyBorder="1" applyAlignment="1">
      <alignment horizontal="center"/>
    </xf>
    <xf numFmtId="10" fontId="9" fillId="0" borderId="38" xfId="0" applyNumberFormat="1" applyFont="1" applyBorder="1"/>
    <xf numFmtId="168" fontId="0" fillId="0" borderId="0" xfId="2" applyNumberFormat="1" applyFont="1"/>
    <xf numFmtId="0" fontId="0" fillId="0" borderId="1" xfId="0" applyFill="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1" xfId="0" applyBorder="1" applyAlignment="1">
      <alignment horizontal="center" vertical="center" wrapText="1"/>
    </xf>
    <xf numFmtId="0" fontId="0" fillId="0" borderId="0" xfId="0" applyFont="1"/>
    <xf numFmtId="169" fontId="14" fillId="16" borderId="10" xfId="0" applyNumberFormat="1" applyFont="1" applyFill="1" applyBorder="1" applyAlignment="1">
      <alignment horizontal="center"/>
    </xf>
    <xf numFmtId="0" fontId="14" fillId="16" borderId="10" xfId="0" applyFont="1" applyFill="1" applyBorder="1" applyAlignment="1">
      <alignment horizontal="center"/>
    </xf>
    <xf numFmtId="169" fontId="14" fillId="16" borderId="11" xfId="0" applyNumberFormat="1" applyFont="1" applyFill="1" applyBorder="1" applyAlignment="1">
      <alignment horizontal="center"/>
    </xf>
    <xf numFmtId="0" fontId="18" fillId="16" borderId="1" xfId="0" applyFont="1" applyFill="1" applyBorder="1"/>
    <xf numFmtId="0" fontId="0" fillId="0" borderId="48" xfId="0" applyFont="1" applyBorder="1"/>
    <xf numFmtId="166" fontId="0" fillId="0" borderId="32" xfId="2" applyNumberFormat="1" applyFont="1" applyBorder="1"/>
    <xf numFmtId="2" fontId="16" fillId="0" borderId="48" xfId="3" applyNumberFormat="1" applyFont="1" applyBorder="1" applyAlignment="1">
      <alignment vertical="center"/>
    </xf>
    <xf numFmtId="2" fontId="0" fillId="0" borderId="32" xfId="3" applyNumberFormat="1" applyFont="1" applyBorder="1"/>
    <xf numFmtId="9" fontId="0" fillId="0" borderId="24" xfId="2" applyFont="1" applyBorder="1"/>
    <xf numFmtId="0" fontId="0" fillId="0" borderId="0" xfId="0" applyFont="1" applyBorder="1"/>
    <xf numFmtId="166" fontId="0" fillId="0" borderId="15" xfId="2" applyNumberFormat="1" applyFont="1" applyBorder="1"/>
    <xf numFmtId="2" fontId="16" fillId="0" borderId="0" xfId="3" applyNumberFormat="1" applyFont="1" applyBorder="1" applyAlignment="1">
      <alignment vertical="center"/>
    </xf>
    <xf numFmtId="2" fontId="0" fillId="0" borderId="15" xfId="3" applyNumberFormat="1" applyFont="1" applyBorder="1"/>
    <xf numFmtId="9" fontId="0" fillId="0" borderId="12" xfId="2" applyFont="1" applyBorder="1"/>
    <xf numFmtId="2" fontId="16" fillId="0" borderId="0" xfId="3" applyNumberFormat="1" applyFont="1" applyBorder="1"/>
    <xf numFmtId="2" fontId="0" fillId="0" borderId="0" xfId="3" applyNumberFormat="1" applyFont="1" applyBorder="1"/>
    <xf numFmtId="0" fontId="0" fillId="0" borderId="45" xfId="0" applyFont="1" applyBorder="1"/>
    <xf numFmtId="0" fontId="0" fillId="0" borderId="49" xfId="0" applyFont="1" applyBorder="1"/>
    <xf numFmtId="166" fontId="0" fillId="0" borderId="38" xfId="2" applyNumberFormat="1" applyFont="1" applyBorder="1"/>
    <xf numFmtId="0" fontId="0" fillId="0" borderId="5" xfId="0" applyFont="1" applyBorder="1" applyAlignment="1">
      <alignment horizontal="center"/>
    </xf>
    <xf numFmtId="2" fontId="0" fillId="0" borderId="49" xfId="3" applyNumberFormat="1" applyFont="1" applyBorder="1"/>
    <xf numFmtId="2" fontId="0" fillId="0" borderId="38" xfId="3" applyNumberFormat="1" applyFont="1" applyBorder="1"/>
    <xf numFmtId="9" fontId="0" fillId="0" borderId="5" xfId="2" applyFont="1" applyBorder="1"/>
    <xf numFmtId="0" fontId="0" fillId="0" borderId="0" xfId="0" applyFont="1" applyBorder="1" applyAlignment="1">
      <alignment horizontal="center"/>
    </xf>
    <xf numFmtId="0" fontId="19" fillId="0" borderId="0" xfId="0" applyFont="1" applyBorder="1"/>
    <xf numFmtId="9" fontId="0" fillId="0" borderId="0" xfId="2" applyFont="1" applyBorder="1"/>
    <xf numFmtId="2" fontId="0" fillId="0" borderId="0" xfId="3" applyNumberFormat="1" applyFont="1"/>
    <xf numFmtId="9" fontId="0" fillId="0" borderId="0" xfId="2" applyFont="1" applyAlignment="1">
      <alignment horizontal="left"/>
    </xf>
    <xf numFmtId="0" fontId="8" fillId="2" borderId="1" xfId="0" applyFont="1" applyFill="1" applyBorder="1"/>
    <xf numFmtId="0" fontId="5" fillId="0" borderId="52" xfId="0" applyFont="1" applyBorder="1" applyAlignment="1">
      <alignment horizontal="center" vertical="center"/>
    </xf>
    <xf numFmtId="0" fontId="0" fillId="0" borderId="1" xfId="0" applyBorder="1" applyAlignment="1">
      <alignment horizontal="center" vertical="center"/>
    </xf>
    <xf numFmtId="0" fontId="0" fillId="0" borderId="52" xfId="0" applyFont="1" applyBorder="1" applyAlignment="1"/>
    <xf numFmtId="0" fontId="0" fillId="0" borderId="12" xfId="0" applyBorder="1" applyAlignment="1">
      <alignment horizontal="center"/>
    </xf>
    <xf numFmtId="0" fontId="5" fillId="0" borderId="36" xfId="0" applyFont="1" applyBorder="1" applyAlignment="1">
      <alignment horizontal="center" vertical="center" wrapText="1"/>
    </xf>
    <xf numFmtId="0" fontId="0" fillId="2" borderId="1" xfId="0" applyFill="1" applyBorder="1"/>
    <xf numFmtId="0" fontId="0" fillId="2" borderId="1" xfId="0" applyFill="1" applyBorder="1" applyAlignment="1">
      <alignment horizontal="center"/>
    </xf>
    <xf numFmtId="43" fontId="0" fillId="2" borderId="1" xfId="0" applyNumberFormat="1" applyFill="1" applyBorder="1"/>
    <xf numFmtId="165" fontId="0" fillId="2" borderId="1" xfId="0" applyNumberFormat="1" applyFill="1" applyBorder="1"/>
    <xf numFmtId="166" fontId="0" fillId="0" borderId="0" xfId="0" applyNumberFormat="1"/>
    <xf numFmtId="9" fontId="5" fillId="8" borderId="1" xfId="2" applyFont="1" applyFill="1" applyBorder="1" applyAlignment="1">
      <alignment horizontal="center"/>
    </xf>
    <xf numFmtId="0" fontId="13" fillId="0" borderId="0" xfId="0" applyFont="1" applyBorder="1" applyAlignment="1">
      <alignment horizontal="right"/>
    </xf>
    <xf numFmtId="0" fontId="0" fillId="0" borderId="0" xfId="0" applyBorder="1" applyAlignment="1">
      <alignment horizontal="right"/>
    </xf>
    <xf numFmtId="0" fontId="13" fillId="0" borderId="0" xfId="0" applyFont="1" applyBorder="1"/>
    <xf numFmtId="0" fontId="0" fillId="0" borderId="16" xfId="0" applyBorder="1"/>
    <xf numFmtId="0" fontId="0" fillId="0" borderId="25" xfId="0" applyBorder="1"/>
    <xf numFmtId="0" fontId="0" fillId="0" borderId="26" xfId="0" applyBorder="1"/>
    <xf numFmtId="0" fontId="0" fillId="0" borderId="46" xfId="0" applyBorder="1"/>
    <xf numFmtId="0" fontId="13" fillId="0" borderId="43" xfId="0" applyFont="1" applyBorder="1" applyAlignment="1">
      <alignment horizontal="right"/>
    </xf>
    <xf numFmtId="0" fontId="13" fillId="0" borderId="43" xfId="0" applyFont="1" applyBorder="1"/>
    <xf numFmtId="0" fontId="0" fillId="0" borderId="43" xfId="0" applyBorder="1"/>
    <xf numFmtId="0" fontId="0" fillId="0" borderId="47" xfId="0" applyBorder="1"/>
    <xf numFmtId="0" fontId="0" fillId="0" borderId="29" xfId="0" applyBorder="1"/>
    <xf numFmtId="10" fontId="5" fillId="0" borderId="1" xfId="0" applyNumberFormat="1" applyFont="1" applyFill="1" applyBorder="1" applyAlignment="1">
      <alignment horizontal="center"/>
    </xf>
    <xf numFmtId="168" fontId="16" fillId="0" borderId="48" xfId="0" applyNumberFormat="1" applyFont="1" applyBorder="1" applyAlignment="1">
      <alignment vertical="center"/>
    </xf>
    <xf numFmtId="168" fontId="16" fillId="0" borderId="0" xfId="0" applyNumberFormat="1" applyFont="1" applyBorder="1" applyAlignment="1">
      <alignment vertical="center"/>
    </xf>
    <xf numFmtId="168" fontId="16" fillId="0" borderId="0" xfId="0" applyNumberFormat="1" applyFont="1" applyBorder="1"/>
    <xf numFmtId="168" fontId="0" fillId="0" borderId="0" xfId="0" applyNumberFormat="1" applyFont="1" applyBorder="1"/>
    <xf numFmtId="168" fontId="0" fillId="0" borderId="49" xfId="0" applyNumberFormat="1" applyFont="1" applyBorder="1"/>
    <xf numFmtId="0" fontId="5" fillId="0" borderId="0" xfId="0" applyFont="1" applyAlignment="1">
      <alignment horizontal="center"/>
    </xf>
    <xf numFmtId="9" fontId="0" fillId="0" borderId="0" xfId="0" applyNumberFormat="1"/>
    <xf numFmtId="9" fontId="8" fillId="0" borderId="0" xfId="2" applyFont="1" applyAlignment="1">
      <alignment horizontal="center"/>
    </xf>
    <xf numFmtId="0" fontId="5" fillId="0" borderId="1" xfId="0" applyFont="1" applyBorder="1" applyAlignment="1">
      <alignment horizontal="center"/>
    </xf>
    <xf numFmtId="0" fontId="0" fillId="0" borderId="0" xfId="0" applyBorder="1" applyAlignment="1">
      <alignment horizontal="center"/>
    </xf>
    <xf numFmtId="5" fontId="8" fillId="8" borderId="1" xfId="1" applyNumberFormat="1" applyFont="1" applyFill="1" applyBorder="1" applyAlignment="1">
      <alignment horizontal="center" vertical="center"/>
    </xf>
    <xf numFmtId="5" fontId="8" fillId="2" borderId="1" xfId="1" applyNumberFormat="1" applyFont="1" applyFill="1" applyBorder="1" applyAlignment="1">
      <alignment horizontal="center" vertical="center"/>
    </xf>
    <xf numFmtId="0" fontId="7" fillId="3" borderId="1" xfId="0" applyFont="1" applyFill="1" applyBorder="1" applyAlignment="1">
      <alignment horizontal="center" vertical="center" wrapText="1"/>
    </xf>
    <xf numFmtId="0" fontId="0" fillId="0" borderId="0" xfId="0" applyAlignment="1">
      <alignment horizontal="left"/>
    </xf>
    <xf numFmtId="10" fontId="0" fillId="0" borderId="0" xfId="2" applyNumberFormat="1" applyFont="1"/>
    <xf numFmtId="0" fontId="0" fillId="2" borderId="0" xfId="0" applyFill="1" applyBorder="1"/>
    <xf numFmtId="43" fontId="0" fillId="2" borderId="0" xfId="0" applyNumberFormat="1" applyFill="1" applyBorder="1"/>
    <xf numFmtId="2" fontId="0" fillId="0" borderId="0" xfId="0" applyNumberFormat="1"/>
    <xf numFmtId="0" fontId="14" fillId="16" borderId="24" xfId="0" applyFont="1" applyFill="1" applyBorder="1" applyAlignment="1">
      <alignment horizontal="center"/>
    </xf>
    <xf numFmtId="169" fontId="14" fillId="16" borderId="48" xfId="0" applyNumberFormat="1" applyFont="1" applyFill="1" applyBorder="1" applyAlignment="1">
      <alignment horizontal="center"/>
    </xf>
    <xf numFmtId="0" fontId="14" fillId="16" borderId="48" xfId="0" applyFont="1" applyFill="1" applyBorder="1" applyAlignment="1">
      <alignment horizontal="center"/>
    </xf>
    <xf numFmtId="169" fontId="14" fillId="16" borderId="32" xfId="0" applyNumberFormat="1" applyFont="1" applyFill="1" applyBorder="1" applyAlignment="1">
      <alignment horizontal="center"/>
    </xf>
    <xf numFmtId="0" fontId="18" fillId="16" borderId="24" xfId="0" applyFont="1" applyFill="1" applyBorder="1"/>
    <xf numFmtId="10" fontId="5" fillId="21" borderId="1" xfId="0" applyNumberFormat="1" applyFont="1" applyFill="1" applyBorder="1" applyAlignment="1">
      <alignment horizontal="center"/>
    </xf>
    <xf numFmtId="0" fontId="20" fillId="0" borderId="0" xfId="0" applyFont="1"/>
    <xf numFmtId="0" fontId="9" fillId="0" borderId="0" xfId="0" applyFont="1"/>
    <xf numFmtId="0" fontId="20" fillId="0" borderId="49" xfId="0" applyFont="1" applyBorder="1"/>
    <xf numFmtId="0" fontId="9" fillId="0" borderId="49" xfId="0" applyFont="1" applyBorder="1"/>
    <xf numFmtId="0" fontId="20" fillId="0" borderId="0" xfId="0" applyFont="1" applyAlignment="1">
      <alignment horizontal="center"/>
    </xf>
    <xf numFmtId="170" fontId="9" fillId="0" borderId="0" xfId="0" applyNumberFormat="1" applyFont="1"/>
    <xf numFmtId="0" fontId="21" fillId="0" borderId="0" xfId="0" applyFont="1" applyBorder="1"/>
    <xf numFmtId="166" fontId="0" fillId="0" borderId="1" xfId="0" applyNumberFormat="1" applyFont="1" applyFill="1" applyBorder="1"/>
    <xf numFmtId="166" fontId="0" fillId="19" borderId="1" xfId="0" applyNumberFormat="1" applyFont="1" applyFill="1" applyBorder="1" applyAlignment="1">
      <alignment horizontal="right" indent="3"/>
    </xf>
    <xf numFmtId="166" fontId="9" fillId="0" borderId="1" xfId="0" applyNumberFormat="1" applyFont="1" applyBorder="1" applyAlignment="1">
      <alignment horizontal="center"/>
    </xf>
    <xf numFmtId="0" fontId="0" fillId="0" borderId="0" xfId="0" applyFont="1" applyFill="1" applyBorder="1" applyAlignment="1">
      <alignment horizontal="center"/>
    </xf>
    <xf numFmtId="0" fontId="8" fillId="0" borderId="0" xfId="0" applyFont="1" applyAlignment="1">
      <alignment horizontal="center"/>
    </xf>
    <xf numFmtId="0" fontId="8" fillId="0" borderId="0" xfId="0" applyFont="1" applyBorder="1"/>
    <xf numFmtId="0" fontId="1" fillId="0" borderId="0" xfId="0" applyFont="1"/>
    <xf numFmtId="5" fontId="8" fillId="22" borderId="1" xfId="0" applyNumberFormat="1" applyFont="1" applyFill="1" applyBorder="1"/>
    <xf numFmtId="166" fontId="0" fillId="0" borderId="1" xfId="0" applyNumberFormat="1" applyBorder="1" applyAlignment="1">
      <alignment horizontal="center"/>
    </xf>
    <xf numFmtId="0" fontId="13" fillId="0" borderId="0" xfId="0" applyFont="1" applyAlignment="1">
      <alignment horizontal="center"/>
    </xf>
    <xf numFmtId="166" fontId="8" fillId="10" borderId="1" xfId="2" applyNumberFormat="1" applyFont="1" applyFill="1" applyBorder="1" applyAlignment="1">
      <alignment horizontal="center"/>
    </xf>
    <xf numFmtId="166" fontId="8" fillId="10" borderId="5" xfId="2" applyNumberFormat="1" applyFont="1" applyFill="1" applyBorder="1" applyAlignment="1">
      <alignment horizontal="center"/>
    </xf>
    <xf numFmtId="9" fontId="8" fillId="2" borderId="1" xfId="2" applyFont="1" applyFill="1" applyBorder="1" applyAlignment="1">
      <alignment horizontal="center"/>
    </xf>
    <xf numFmtId="0" fontId="8" fillId="0" borderId="41" xfId="0" applyFont="1" applyBorder="1" applyAlignment="1">
      <alignment horizontal="center"/>
    </xf>
    <xf numFmtId="0" fontId="8" fillId="0" borderId="20" xfId="0" applyFont="1" applyBorder="1" applyAlignment="1">
      <alignment horizontal="center"/>
    </xf>
    <xf numFmtId="166" fontId="8" fillId="10" borderId="21" xfId="2" applyNumberFormat="1" applyFont="1" applyFill="1" applyBorder="1" applyAlignment="1">
      <alignment horizontal="center"/>
    </xf>
    <xf numFmtId="9" fontId="8" fillId="2" borderId="21" xfId="2" applyFont="1" applyFill="1" applyBorder="1" applyAlignment="1">
      <alignment horizontal="center"/>
    </xf>
    <xf numFmtId="0" fontId="8" fillId="0" borderId="30" xfId="0" applyFont="1" applyBorder="1" applyAlignment="1">
      <alignment horizontal="center"/>
    </xf>
    <xf numFmtId="9" fontId="8" fillId="2" borderId="5" xfId="2" applyFont="1" applyFill="1" applyBorder="1" applyAlignment="1">
      <alignment horizontal="center"/>
    </xf>
    <xf numFmtId="0" fontId="8" fillId="0" borderId="18" xfId="0" applyFont="1" applyFill="1" applyBorder="1" applyAlignment="1">
      <alignment horizontal="right"/>
    </xf>
    <xf numFmtId="0" fontId="8" fillId="0" borderId="47" xfId="0" applyFont="1" applyFill="1" applyBorder="1" applyAlignment="1">
      <alignment horizontal="right"/>
    </xf>
    <xf numFmtId="0" fontId="0" fillId="0" borderId="47" xfId="0" applyFill="1" applyBorder="1"/>
    <xf numFmtId="5" fontId="8" fillId="0" borderId="47" xfId="1" applyNumberFormat="1" applyFont="1" applyFill="1" applyBorder="1" applyAlignment="1">
      <alignment vertical="center"/>
    </xf>
    <xf numFmtId="0" fontId="13" fillId="0" borderId="47" xfId="0" applyFont="1" applyBorder="1"/>
    <xf numFmtId="0" fontId="11" fillId="0" borderId="0" xfId="0" applyFont="1" applyFill="1" applyBorder="1" applyAlignment="1">
      <alignment vertical="center" wrapText="1"/>
    </xf>
    <xf numFmtId="0" fontId="8" fillId="23" borderId="1" xfId="0" applyFont="1" applyFill="1" applyBorder="1" applyAlignment="1">
      <alignment horizontal="center"/>
    </xf>
    <xf numFmtId="0" fontId="23" fillId="0" borderId="0" xfId="0" applyFont="1" applyBorder="1" applyAlignment="1">
      <alignment horizontal="right"/>
    </xf>
    <xf numFmtId="0" fontId="24" fillId="0" borderId="43" xfId="0" applyFont="1" applyBorder="1"/>
    <xf numFmtId="0" fontId="8" fillId="23" borderId="5" xfId="0" applyFont="1" applyFill="1" applyBorder="1" applyAlignment="1">
      <alignment horizontal="center"/>
    </xf>
    <xf numFmtId="0" fontId="8" fillId="21" borderId="3"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13" xfId="0" applyFont="1" applyFill="1" applyBorder="1" applyAlignment="1">
      <alignment horizontal="center" vertical="center" wrapText="1"/>
    </xf>
    <xf numFmtId="166" fontId="5" fillId="0" borderId="30" xfId="2" applyNumberFormat="1" applyFont="1" applyBorder="1" applyAlignment="1">
      <alignment horizontal="center"/>
    </xf>
    <xf numFmtId="5" fontId="8" fillId="8" borderId="5" xfId="1" applyNumberFormat="1" applyFont="1" applyFill="1" applyBorder="1" applyAlignment="1">
      <alignment horizontal="center" vertical="center"/>
    </xf>
    <xf numFmtId="5" fontId="8" fillId="3" borderId="5" xfId="1" applyNumberFormat="1" applyFont="1" applyFill="1" applyBorder="1" applyAlignment="1">
      <alignment horizontal="center" vertical="center"/>
    </xf>
    <xf numFmtId="5" fontId="8" fillId="6" borderId="5" xfId="1" applyNumberFormat="1" applyFont="1" applyFill="1" applyBorder="1" applyAlignment="1">
      <alignment horizontal="center" vertical="center"/>
    </xf>
    <xf numFmtId="5" fontId="8" fillId="3" borderId="1" xfId="1" applyNumberFormat="1" applyFont="1" applyFill="1" applyBorder="1" applyAlignment="1">
      <alignment horizontal="center" vertical="center"/>
    </xf>
    <xf numFmtId="5" fontId="8" fillId="6" borderId="1" xfId="1" applyNumberFormat="1" applyFont="1" applyFill="1" applyBorder="1" applyAlignment="1">
      <alignment horizontal="center" vertical="center"/>
    </xf>
    <xf numFmtId="5" fontId="8" fillId="8" borderId="21" xfId="1" applyNumberFormat="1" applyFont="1" applyFill="1" applyBorder="1" applyAlignment="1">
      <alignment horizontal="center" vertical="center"/>
    </xf>
    <xf numFmtId="5" fontId="8" fillId="3" borderId="21" xfId="1" applyNumberFormat="1" applyFont="1" applyFill="1" applyBorder="1" applyAlignment="1">
      <alignment horizontal="center" vertical="center"/>
    </xf>
    <xf numFmtId="5" fontId="8" fillId="6" borderId="21" xfId="1" applyNumberFormat="1" applyFont="1" applyFill="1" applyBorder="1" applyAlignment="1">
      <alignment horizontal="center" vertical="center"/>
    </xf>
    <xf numFmtId="0" fontId="8" fillId="21" borderId="13" xfId="0" applyFont="1" applyFill="1" applyBorder="1" applyAlignment="1">
      <alignment horizontal="center" vertical="center" wrapText="1"/>
    </xf>
    <xf numFmtId="10" fontId="0" fillId="0" borderId="0" xfId="0" applyNumberFormat="1"/>
    <xf numFmtId="43" fontId="5" fillId="0" borderId="30" xfId="1" applyFont="1" applyBorder="1" applyAlignment="1">
      <alignment horizontal="center"/>
    </xf>
    <xf numFmtId="5" fontId="8" fillId="0" borderId="0" xfId="1" applyNumberFormat="1" applyFont="1" applyAlignment="1">
      <alignment horizontal="center"/>
    </xf>
    <xf numFmtId="0" fontId="8" fillId="10" borderId="1" xfId="0" applyFont="1" applyFill="1" applyBorder="1" applyAlignment="1">
      <alignment horizontal="center"/>
    </xf>
    <xf numFmtId="0" fontId="5" fillId="0" borderId="0" xfId="0" applyFont="1" applyAlignment="1">
      <alignment horizontal="left"/>
    </xf>
    <xf numFmtId="0" fontId="7" fillId="0" borderId="0" xfId="0" applyFont="1" applyAlignment="1">
      <alignment horizontal="left"/>
    </xf>
    <xf numFmtId="5" fontId="13" fillId="0" borderId="1" xfId="0" applyNumberFormat="1" applyFont="1" applyBorder="1" applyAlignment="1">
      <alignment horizontal="center"/>
    </xf>
    <xf numFmtId="9" fontId="0" fillId="0" borderId="1" xfId="0" applyNumberFormat="1" applyFont="1" applyBorder="1" applyAlignment="1">
      <alignment horizontal="center"/>
    </xf>
    <xf numFmtId="0" fontId="24" fillId="0" borderId="43" xfId="0" applyFont="1" applyBorder="1" applyAlignment="1">
      <alignment horizontal="center"/>
    </xf>
    <xf numFmtId="0" fontId="13" fillId="0" borderId="18" xfId="0" applyFont="1" applyBorder="1"/>
    <xf numFmtId="0" fontId="11" fillId="0" borderId="1" xfId="0" applyFont="1" applyBorder="1" applyAlignment="1">
      <alignment horizontal="center" vertical="center"/>
    </xf>
    <xf numFmtId="0" fontId="7" fillId="0" borderId="1" xfId="0" applyFont="1" applyBorder="1" applyAlignment="1">
      <alignment horizontal="center"/>
    </xf>
    <xf numFmtId="5" fontId="8" fillId="3" borderId="1" xfId="0" applyNumberFormat="1" applyFont="1" applyFill="1" applyBorder="1"/>
    <xf numFmtId="0" fontId="8" fillId="0" borderId="0" xfId="0" applyFont="1" applyAlignment="1"/>
    <xf numFmtId="5" fontId="8" fillId="21" borderId="1" xfId="1" applyNumberFormat="1" applyFont="1" applyFill="1" applyBorder="1" applyAlignment="1">
      <alignment horizontal="center" vertical="center"/>
    </xf>
    <xf numFmtId="5" fontId="8" fillId="21" borderId="1" xfId="0" applyNumberFormat="1" applyFont="1" applyFill="1" applyBorder="1" applyAlignment="1">
      <alignment horizontal="center"/>
    </xf>
    <xf numFmtId="5" fontId="8" fillId="6" borderId="1" xfId="0" applyNumberFormat="1" applyFont="1" applyFill="1" applyBorder="1" applyAlignment="1">
      <alignment horizontal="center"/>
    </xf>
    <xf numFmtId="5" fontId="8" fillId="3" borderId="1" xfId="0" applyNumberFormat="1" applyFont="1" applyFill="1" applyBorder="1" applyAlignment="1">
      <alignment horizontal="center"/>
    </xf>
    <xf numFmtId="5" fontId="8" fillId="25" borderId="1" xfId="0" applyNumberFormat="1" applyFont="1" applyFill="1" applyBorder="1" applyAlignment="1">
      <alignment horizontal="center"/>
    </xf>
    <xf numFmtId="5" fontId="8" fillId="6" borderId="1" xfId="1" applyNumberFormat="1" applyFont="1" applyFill="1" applyBorder="1"/>
    <xf numFmtId="5" fontId="8" fillId="0" borderId="0" xfId="1" applyNumberFormat="1" applyFont="1"/>
    <xf numFmtId="5" fontId="8" fillId="3" borderId="1" xfId="1" applyNumberFormat="1" applyFont="1" applyFill="1" applyBorder="1"/>
    <xf numFmtId="5" fontId="8" fillId="25" borderId="1" xfId="1" applyNumberFormat="1" applyFont="1" applyFill="1" applyBorder="1"/>
    <xf numFmtId="0" fontId="11" fillId="0" borderId="9" xfId="0" applyFont="1" applyBorder="1" applyAlignment="1">
      <alignment horizontal="center" vertical="center"/>
    </xf>
    <xf numFmtId="0" fontId="7" fillId="0" borderId="9" xfId="0" applyFont="1" applyBorder="1" applyAlignment="1">
      <alignment horizontal="center"/>
    </xf>
    <xf numFmtId="10" fontId="0" fillId="0" borderId="0" xfId="0" applyNumberFormat="1" applyAlignment="1">
      <alignment horizontal="left"/>
    </xf>
    <xf numFmtId="0" fontId="0" fillId="0" borderId="0" xfId="0" applyFill="1"/>
    <xf numFmtId="166" fontId="8" fillId="21" borderId="1" xfId="2" applyNumberFormat="1" applyFont="1" applyFill="1" applyBorder="1" applyAlignment="1">
      <alignment horizontal="center"/>
    </xf>
    <xf numFmtId="166" fontId="8" fillId="6" borderId="1" xfId="2" applyNumberFormat="1" applyFont="1" applyFill="1" applyBorder="1" applyAlignment="1">
      <alignment horizontal="center"/>
    </xf>
    <xf numFmtId="166" fontId="8" fillId="3" borderId="1" xfId="2" applyNumberFormat="1" applyFont="1" applyFill="1" applyBorder="1" applyAlignment="1">
      <alignment horizontal="center"/>
    </xf>
    <xf numFmtId="166" fontId="8" fillId="25" borderId="1" xfId="2" applyNumberFormat="1" applyFont="1" applyFill="1" applyBorder="1" applyAlignment="1">
      <alignment horizontal="center"/>
    </xf>
    <xf numFmtId="9" fontId="8" fillId="10" borderId="0" xfId="2" applyFont="1" applyFill="1" applyAlignment="1">
      <alignment horizontal="center"/>
    </xf>
    <xf numFmtId="9" fontId="8" fillId="10" borderId="1" xfId="2" applyFont="1" applyFill="1" applyBorder="1" applyAlignment="1">
      <alignment horizontal="center"/>
    </xf>
    <xf numFmtId="5" fontId="8" fillId="21" borderId="1" xfId="1" applyNumberFormat="1" applyFont="1" applyFill="1" applyBorder="1" applyAlignment="1">
      <alignment horizontal="center"/>
    </xf>
    <xf numFmtId="5" fontId="8" fillId="6" borderId="1" xfId="1" applyNumberFormat="1" applyFont="1" applyFill="1" applyBorder="1" applyAlignment="1">
      <alignment horizontal="center"/>
    </xf>
    <xf numFmtId="5" fontId="8" fillId="3" borderId="1" xfId="1" applyNumberFormat="1" applyFont="1" applyFill="1" applyBorder="1" applyAlignment="1">
      <alignment horizontal="center"/>
    </xf>
    <xf numFmtId="5" fontId="8" fillId="25" borderId="1" xfId="1" applyNumberFormat="1" applyFont="1" applyFill="1" applyBorder="1" applyAlignment="1">
      <alignment horizontal="center"/>
    </xf>
    <xf numFmtId="9" fontId="0" fillId="0" borderId="1" xfId="2" applyNumberFormat="1" applyFont="1" applyFill="1" applyBorder="1"/>
    <xf numFmtId="0" fontId="0" fillId="0" borderId="1" xfId="0" applyFill="1" applyBorder="1"/>
    <xf numFmtId="9" fontId="0" fillId="0" borderId="0" xfId="2" applyFont="1" applyFill="1" applyBorder="1" applyAlignment="1"/>
    <xf numFmtId="0" fontId="3" fillId="3" borderId="0" xfId="0" applyFont="1" applyFill="1" applyBorder="1" applyAlignment="1">
      <alignment horizontal="center" vertical="center" wrapText="1"/>
    </xf>
    <xf numFmtId="165" fontId="8" fillId="3" borderId="1" xfId="1" applyNumberFormat="1" applyFont="1" applyFill="1" applyBorder="1" applyAlignment="1">
      <alignment horizontal="center"/>
    </xf>
    <xf numFmtId="169" fontId="8" fillId="8" borderId="1" xfId="1" applyNumberFormat="1" applyFont="1" applyFill="1" applyBorder="1" applyAlignment="1">
      <alignment horizontal="center"/>
    </xf>
    <xf numFmtId="169" fontId="0" fillId="0" borderId="0" xfId="0" applyNumberFormat="1"/>
    <xf numFmtId="169" fontId="8" fillId="3" borderId="1" xfId="1" applyNumberFormat="1" applyFont="1" applyFill="1" applyBorder="1" applyAlignment="1">
      <alignment horizontal="center"/>
    </xf>
    <xf numFmtId="0" fontId="8" fillId="20" borderId="1" xfId="0" applyFont="1" applyFill="1" applyBorder="1" applyAlignment="1">
      <alignment horizontal="center"/>
    </xf>
    <xf numFmtId="0" fontId="8" fillId="2" borderId="11" xfId="0" applyFont="1" applyFill="1" applyBorder="1" applyAlignment="1">
      <alignment horizontal="center"/>
    </xf>
    <xf numFmtId="0" fontId="7" fillId="10" borderId="1" xfId="0" applyFont="1" applyFill="1" applyBorder="1" applyAlignment="1">
      <alignment horizontal="center" vertical="center" wrapText="1"/>
    </xf>
    <xf numFmtId="0" fontId="7" fillId="21" borderId="1" xfId="0" applyFont="1" applyFill="1" applyBorder="1" applyAlignment="1">
      <alignment horizontal="center" vertical="center" wrapText="1"/>
    </xf>
    <xf numFmtId="165" fontId="8" fillId="22" borderId="1" xfId="1" applyNumberFormat="1" applyFont="1" applyFill="1" applyBorder="1" applyAlignment="1">
      <alignment horizontal="center"/>
    </xf>
    <xf numFmtId="165" fontId="8" fillId="6" borderId="1" xfId="1" applyNumberFormat="1" applyFont="1" applyFill="1" applyBorder="1" applyAlignment="1">
      <alignment horizontal="center"/>
    </xf>
    <xf numFmtId="165" fontId="8" fillId="25" borderId="1" xfId="1" applyNumberFormat="1" applyFont="1" applyFill="1" applyBorder="1" applyAlignment="1">
      <alignment horizontal="center"/>
    </xf>
    <xf numFmtId="0" fontId="7" fillId="21" borderId="3" xfId="0" applyFont="1" applyFill="1" applyBorder="1" applyAlignment="1">
      <alignment horizontal="center" vertical="center" wrapText="1"/>
    </xf>
    <xf numFmtId="0" fontId="7" fillId="21" borderId="1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25" fillId="4" borderId="0" xfId="0" applyFont="1" applyFill="1" applyBorder="1" applyAlignment="1">
      <alignment horizontal="center"/>
    </xf>
    <xf numFmtId="0" fontId="7" fillId="25" borderId="3" xfId="0" applyFont="1" applyFill="1" applyBorder="1" applyAlignment="1">
      <alignment horizontal="center" vertical="center" wrapText="1"/>
    </xf>
    <xf numFmtId="0" fontId="7" fillId="25" borderId="13" xfId="0" applyFont="1" applyFill="1" applyBorder="1" applyAlignment="1">
      <alignment horizontal="center" vertical="center" wrapText="1"/>
    </xf>
    <xf numFmtId="5" fontId="5" fillId="0" borderId="30" xfId="1" applyNumberFormat="1" applyFont="1" applyBorder="1" applyAlignment="1">
      <alignment horizontal="center"/>
    </xf>
    <xf numFmtId="9" fontId="0" fillId="0" borderId="0" xfId="2" applyFont="1" applyAlignment="1">
      <alignment horizontal="center"/>
    </xf>
    <xf numFmtId="0" fontId="0" fillId="20" borderId="1" xfId="0" applyFont="1" applyFill="1" applyBorder="1" applyAlignment="1">
      <alignment horizontal="center"/>
    </xf>
    <xf numFmtId="0" fontId="5" fillId="20" borderId="12" xfId="0" applyFont="1" applyFill="1" applyBorder="1" applyAlignment="1">
      <alignment horizontal="center"/>
    </xf>
    <xf numFmtId="10" fontId="0" fillId="0" borderId="32" xfId="2" applyNumberFormat="1" applyFont="1" applyBorder="1" applyAlignment="1">
      <alignment horizontal="center"/>
    </xf>
    <xf numFmtId="10" fontId="0" fillId="0" borderId="15" xfId="2" applyNumberFormat="1" applyFont="1" applyBorder="1" applyAlignment="1">
      <alignment horizontal="center"/>
    </xf>
    <xf numFmtId="10" fontId="0" fillId="2" borderId="15" xfId="2" applyNumberFormat="1" applyFont="1" applyFill="1" applyBorder="1" applyAlignment="1">
      <alignment horizontal="center"/>
    </xf>
    <xf numFmtId="10" fontId="0" fillId="2" borderId="38" xfId="2" applyNumberFormat="1" applyFont="1" applyFill="1" applyBorder="1" applyAlignment="1">
      <alignment horizontal="center"/>
    </xf>
    <xf numFmtId="10" fontId="16" fillId="8" borderId="1" xfId="0" applyNumberFormat="1" applyFont="1" applyFill="1" applyBorder="1" applyAlignment="1">
      <alignment horizontal="center" vertical="center"/>
    </xf>
    <xf numFmtId="10" fontId="16" fillId="8" borderId="1" xfId="0" applyNumberFormat="1" applyFont="1" applyFill="1" applyBorder="1" applyAlignment="1">
      <alignment horizontal="center"/>
    </xf>
    <xf numFmtId="10" fontId="0" fillId="8" borderId="1" xfId="0" applyNumberFormat="1" applyFont="1" applyFill="1" applyBorder="1" applyAlignment="1">
      <alignment horizontal="center"/>
    </xf>
    <xf numFmtId="0" fontId="13" fillId="0" borderId="1" xfId="0" applyFont="1" applyBorder="1" applyAlignment="1">
      <alignment horizontal="center"/>
    </xf>
    <xf numFmtId="0" fontId="8" fillId="8" borderId="1" xfId="0" applyFont="1" applyFill="1" applyBorder="1" applyAlignment="1">
      <alignment horizontal="center"/>
    </xf>
    <xf numFmtId="0" fontId="0" fillId="0" borderId="1" xfId="0" applyBorder="1" applyAlignment="1">
      <alignment horizontal="center" vertical="center" wrapText="1"/>
    </xf>
    <xf numFmtId="0" fontId="8" fillId="0" borderId="0" xfId="0" applyFont="1" applyAlignment="1">
      <alignment horizontal="center"/>
    </xf>
    <xf numFmtId="0" fontId="3" fillId="0" borderId="1" xfId="0" applyFont="1" applyFill="1" applyBorder="1" applyAlignment="1">
      <alignment horizontal="center" vertical="center" wrapText="1"/>
    </xf>
    <xf numFmtId="0" fontId="9" fillId="18" borderId="24" xfId="0" applyFont="1" applyFill="1" applyBorder="1"/>
    <xf numFmtId="0" fontId="9" fillId="18" borderId="5" xfId="0" applyFont="1" applyFill="1" applyBorder="1"/>
    <xf numFmtId="168" fontId="0" fillId="0" borderId="1" xfId="2" applyNumberFormat="1" applyFont="1" applyBorder="1"/>
    <xf numFmtId="168" fontId="0" fillId="14" borderId="1" xfId="2" applyNumberFormat="1" applyFont="1" applyFill="1" applyBorder="1"/>
    <xf numFmtId="9" fontId="2" fillId="0" borderId="1" xfId="2" applyFont="1" applyBorder="1" applyAlignment="1">
      <alignment horizontal="right"/>
    </xf>
    <xf numFmtId="0" fontId="3" fillId="3" borderId="3" xfId="0" applyFont="1" applyFill="1" applyBorder="1" applyAlignment="1">
      <alignment horizontal="center" vertical="center" wrapText="1"/>
    </xf>
    <xf numFmtId="0" fontId="3" fillId="3" borderId="13" xfId="0" applyFont="1" applyFill="1" applyBorder="1" applyAlignment="1">
      <alignment horizontal="center" vertical="center" wrapText="1"/>
    </xf>
    <xf numFmtId="9" fontId="2" fillId="0" borderId="11" xfId="2" applyFont="1" applyBorder="1" applyAlignment="1">
      <alignment horizontal="right"/>
    </xf>
    <xf numFmtId="0" fontId="6" fillId="11" borderId="16" xfId="0" applyFont="1" applyFill="1" applyBorder="1" applyAlignment="1">
      <alignment horizontal="center"/>
    </xf>
    <xf numFmtId="0" fontId="6" fillId="11" borderId="25" xfId="0" applyFont="1" applyFill="1" applyBorder="1" applyAlignment="1">
      <alignment horizontal="center"/>
    </xf>
    <xf numFmtId="0" fontId="3" fillId="0" borderId="25" xfId="0" applyFont="1" applyBorder="1" applyAlignment="1">
      <alignment horizontal="center"/>
    </xf>
    <xf numFmtId="166" fontId="5" fillId="0" borderId="19" xfId="2" applyNumberFormat="1" applyFont="1" applyBorder="1" applyAlignment="1">
      <alignment horizontal="center"/>
    </xf>
    <xf numFmtId="0" fontId="0" fillId="0" borderId="57" xfId="0" applyBorder="1" applyAlignment="1">
      <alignment horizontal="center"/>
    </xf>
    <xf numFmtId="165" fontId="2" fillId="0" borderId="42" xfId="1" applyNumberFormat="1" applyFont="1" applyBorder="1" applyAlignment="1">
      <alignment horizontal="right"/>
    </xf>
    <xf numFmtId="0" fontId="0" fillId="0" borderId="58" xfId="0" applyBorder="1" applyAlignment="1">
      <alignment horizontal="center"/>
    </xf>
    <xf numFmtId="0" fontId="0" fillId="0" borderId="59" xfId="0" applyBorder="1" applyAlignment="1">
      <alignment horizontal="center"/>
    </xf>
    <xf numFmtId="0" fontId="0" fillId="0" borderId="39" xfId="0" applyBorder="1" applyAlignment="1">
      <alignment horizontal="center"/>
    </xf>
    <xf numFmtId="165" fontId="2" fillId="0" borderId="21" xfId="1" applyNumberFormat="1" applyFont="1" applyBorder="1" applyAlignment="1">
      <alignment horizontal="center"/>
    </xf>
    <xf numFmtId="166" fontId="7" fillId="0" borderId="21" xfId="2" applyNumberFormat="1" applyFont="1" applyBorder="1" applyAlignment="1">
      <alignment horizontal="center"/>
    </xf>
    <xf numFmtId="165" fontId="2" fillId="0" borderId="22" xfId="1" applyNumberFormat="1" applyFont="1" applyBorder="1" applyAlignment="1">
      <alignment horizontal="right"/>
    </xf>
    <xf numFmtId="167" fontId="21" fillId="2" borderId="1" xfId="1" applyNumberFormat="1" applyFont="1" applyFill="1" applyBorder="1" applyAlignment="1">
      <alignment horizontal="center" vertical="center"/>
    </xf>
    <xf numFmtId="5" fontId="0" fillId="0" borderId="0" xfId="0" applyNumberFormat="1" applyBorder="1"/>
    <xf numFmtId="169" fontId="0" fillId="0" borderId="1" xfId="0" applyNumberFormat="1" applyBorder="1"/>
    <xf numFmtId="164" fontId="0" fillId="0" borderId="0" xfId="0" applyNumberFormat="1"/>
    <xf numFmtId="0" fontId="13" fillId="0" borderId="41" xfId="0" applyFont="1" applyBorder="1" applyAlignment="1">
      <alignment horizontal="center"/>
    </xf>
    <xf numFmtId="169" fontId="13" fillId="0" borderId="1" xfId="0" applyNumberFormat="1" applyFont="1" applyBorder="1" applyAlignment="1">
      <alignment horizontal="right"/>
    </xf>
    <xf numFmtId="0" fontId="13" fillId="0" borderId="44" xfId="0" applyFont="1" applyBorder="1" applyAlignment="1">
      <alignment horizontal="center"/>
    </xf>
    <xf numFmtId="169" fontId="13" fillId="0" borderId="24" xfId="0" applyNumberFormat="1" applyFont="1" applyBorder="1" applyAlignment="1">
      <alignment horizontal="right"/>
    </xf>
    <xf numFmtId="169" fontId="13" fillId="0" borderId="21" xfId="0" applyNumberFormat="1" applyFont="1" applyBorder="1" applyAlignment="1">
      <alignment horizontal="right"/>
    </xf>
    <xf numFmtId="169" fontId="13" fillId="0" borderId="0" xfId="0" applyNumberFormat="1" applyFont="1"/>
    <xf numFmtId="0" fontId="13" fillId="0" borderId="2" xfId="0" applyFont="1" applyBorder="1" applyAlignment="1">
      <alignment horizontal="center" vertical="center" wrapText="1"/>
    </xf>
    <xf numFmtId="169" fontId="13" fillId="0" borderId="9" xfId="0" applyNumberFormat="1" applyFont="1" applyBorder="1" applyAlignment="1">
      <alignment horizontal="right"/>
    </xf>
    <xf numFmtId="169" fontId="13" fillId="0" borderId="23" xfId="0" applyNumberFormat="1" applyFont="1" applyBorder="1" applyAlignment="1">
      <alignment horizontal="right"/>
    </xf>
    <xf numFmtId="0" fontId="13" fillId="0" borderId="30" xfId="0" applyFont="1" applyBorder="1" applyAlignment="1">
      <alignment horizontal="center"/>
    </xf>
    <xf numFmtId="169" fontId="13" fillId="0" borderId="5" xfId="0" applyNumberFormat="1" applyFont="1" applyBorder="1" applyAlignment="1">
      <alignment horizontal="right"/>
    </xf>
    <xf numFmtId="169" fontId="13" fillId="0" borderId="53" xfId="0" applyNumberFormat="1" applyFont="1" applyBorder="1" applyAlignment="1">
      <alignment horizontal="right"/>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8" fillId="0" borderId="55" xfId="0" applyFont="1" applyBorder="1"/>
    <xf numFmtId="169" fontId="8" fillId="0" borderId="27" xfId="0" applyNumberFormat="1" applyFont="1" applyBorder="1"/>
    <xf numFmtId="169" fontId="8" fillId="0" borderId="28" xfId="0" applyNumberFormat="1" applyFont="1" applyBorder="1"/>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0" fillId="0" borderId="1" xfId="0" applyBorder="1" applyAlignment="1">
      <alignment horizontal="center"/>
    </xf>
    <xf numFmtId="169" fontId="5" fillId="0" borderId="30" xfId="1" applyNumberFormat="1" applyFont="1" applyBorder="1" applyAlignment="1">
      <alignment horizontal="center"/>
    </xf>
    <xf numFmtId="5" fontId="5" fillId="0" borderId="56" xfId="1" applyNumberFormat="1" applyFont="1" applyBorder="1" applyAlignment="1">
      <alignment horizontal="center"/>
    </xf>
    <xf numFmtId="0" fontId="8" fillId="2" borderId="0" xfId="0" applyFont="1" applyFill="1" applyBorder="1" applyAlignment="1">
      <alignment horizontal="center"/>
    </xf>
    <xf numFmtId="0" fontId="8" fillId="3" borderId="0" xfId="0" applyFont="1" applyFill="1" applyBorder="1" applyAlignment="1">
      <alignment horizontal="center" vertical="center" wrapText="1"/>
    </xf>
    <xf numFmtId="0" fontId="3" fillId="3" borderId="47" xfId="0" applyFont="1" applyFill="1" applyBorder="1" applyAlignment="1">
      <alignment horizontal="center" vertical="center" wrapText="1"/>
    </xf>
    <xf numFmtId="165" fontId="2" fillId="0" borderId="10" xfId="1" applyNumberFormat="1" applyFont="1" applyBorder="1" applyAlignment="1">
      <alignment horizontal="right"/>
    </xf>
    <xf numFmtId="0" fontId="0" fillId="0" borderId="0" xfId="0" applyBorder="1" applyAlignment="1">
      <alignment horizontal="center" vertical="center" wrapText="1"/>
    </xf>
    <xf numFmtId="165" fontId="0" fillId="0" borderId="0" xfId="0" applyNumberFormat="1" applyBorder="1"/>
    <xf numFmtId="0" fontId="3" fillId="3" borderId="1"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7"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3" fillId="0" borderId="1" xfId="0" applyFont="1" applyBorder="1" applyAlignment="1">
      <alignment horizontal="center"/>
    </xf>
    <xf numFmtId="0" fontId="3" fillId="0" borderId="24" xfId="0" applyFont="1" applyBorder="1" applyAlignment="1">
      <alignment horizontal="center"/>
    </xf>
    <xf numFmtId="165" fontId="2" fillId="0" borderId="60" xfId="1" applyNumberFormat="1" applyFont="1" applyBorder="1" applyAlignment="1">
      <alignment horizontal="right"/>
    </xf>
    <xf numFmtId="165" fontId="2" fillId="0" borderId="61" xfId="1" applyNumberFormat="1" applyFont="1" applyBorder="1" applyAlignment="1">
      <alignment horizontal="right"/>
    </xf>
    <xf numFmtId="0" fontId="3" fillId="3" borderId="4" xfId="0" applyFont="1" applyFill="1" applyBorder="1" applyAlignment="1">
      <alignment horizontal="center" vertical="center" wrapText="1"/>
    </xf>
    <xf numFmtId="10" fontId="2" fillId="0" borderId="60" xfId="2" applyNumberFormat="1" applyFont="1" applyBorder="1" applyAlignment="1">
      <alignment horizontal="right"/>
    </xf>
    <xf numFmtId="165" fontId="0" fillId="0" borderId="19" xfId="0" applyNumberFormat="1" applyBorder="1"/>
    <xf numFmtId="10" fontId="2" fillId="0" borderId="41" xfId="2" applyNumberFormat="1" applyFont="1" applyBorder="1" applyAlignment="1">
      <alignment horizontal="right"/>
    </xf>
    <xf numFmtId="10" fontId="2" fillId="0" borderId="20" xfId="2" applyNumberFormat="1" applyFont="1" applyBorder="1" applyAlignment="1">
      <alignment horizontal="right"/>
    </xf>
    <xf numFmtId="165" fontId="0" fillId="0" borderId="21" xfId="0" applyNumberFormat="1" applyBorder="1"/>
    <xf numFmtId="0" fontId="8" fillId="3" borderId="1" xfId="0" applyFont="1" applyFill="1" applyBorder="1" applyAlignment="1">
      <alignment horizontal="center" vertical="center" wrapText="1"/>
    </xf>
    <xf numFmtId="0" fontId="8" fillId="23" borderId="21" xfId="0" applyFont="1" applyFill="1" applyBorder="1" applyAlignment="1">
      <alignment horizontal="center"/>
    </xf>
    <xf numFmtId="0" fontId="7" fillId="10" borderId="60" xfId="0" applyFont="1" applyFill="1" applyBorder="1" applyAlignment="1">
      <alignment horizontal="center" vertical="center" wrapText="1"/>
    </xf>
    <xf numFmtId="0" fontId="7" fillId="23" borderId="19"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8" borderId="19"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7" fillId="22" borderId="19" xfId="0" applyFont="1" applyFill="1" applyBorder="1" applyAlignment="1">
      <alignment horizontal="center" vertical="center" wrapText="1"/>
    </xf>
    <xf numFmtId="0" fontId="7" fillId="6" borderId="61" xfId="0" applyFont="1" applyFill="1" applyBorder="1" applyAlignment="1">
      <alignment horizontal="center" vertical="center" wrapText="1"/>
    </xf>
    <xf numFmtId="0" fontId="10" fillId="10" borderId="20" xfId="0" applyFont="1" applyFill="1" applyBorder="1" applyAlignment="1">
      <alignment horizontal="center" vertical="center" wrapText="1"/>
    </xf>
    <xf numFmtId="0" fontId="8" fillId="23" borderId="21" xfId="0" applyFont="1" applyFill="1" applyBorder="1" applyAlignment="1">
      <alignment horizontal="center" vertical="center" wrapText="1"/>
    </xf>
    <xf numFmtId="0" fontId="10" fillId="23"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9" fontId="0" fillId="6" borderId="54" xfId="2" applyFont="1" applyFill="1" applyBorder="1" applyAlignment="1">
      <alignment horizontal="center"/>
    </xf>
    <xf numFmtId="9" fontId="0" fillId="6" borderId="42" xfId="2" applyFont="1" applyFill="1" applyBorder="1" applyAlignment="1">
      <alignment horizontal="center"/>
    </xf>
    <xf numFmtId="9" fontId="0" fillId="6" borderId="22" xfId="2" applyFont="1" applyFill="1" applyBorder="1" applyAlignment="1">
      <alignment horizontal="center"/>
    </xf>
    <xf numFmtId="0" fontId="10" fillId="2" borderId="21" xfId="0" applyFont="1" applyFill="1" applyBorder="1" applyAlignment="1">
      <alignment horizontal="center" vertical="center" wrapText="1"/>
    </xf>
    <xf numFmtId="0" fontId="10" fillId="8" borderId="21"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22" borderId="21" xfId="0" applyFont="1" applyFill="1" applyBorder="1" applyAlignment="1">
      <alignment horizontal="center" vertical="center" wrapText="1"/>
    </xf>
    <xf numFmtId="166" fontId="5" fillId="0" borderId="1" xfId="0" applyNumberFormat="1" applyFont="1" applyFill="1" applyBorder="1" applyAlignment="1">
      <alignment horizontal="center"/>
    </xf>
    <xf numFmtId="166" fontId="0" fillId="0" borderId="32" xfId="2" applyNumberFormat="1" applyFont="1" applyFill="1" applyBorder="1" applyAlignment="1">
      <alignment horizontal="center"/>
    </xf>
    <xf numFmtId="166" fontId="0" fillId="0" borderId="15" xfId="2" applyNumberFormat="1" applyFont="1" applyFill="1" applyBorder="1" applyAlignment="1">
      <alignment horizontal="center"/>
    </xf>
    <xf numFmtId="166" fontId="0" fillId="0" borderId="38" xfId="2" applyNumberFormat="1" applyFont="1" applyFill="1" applyBorder="1" applyAlignment="1">
      <alignment horizontal="center"/>
    </xf>
    <xf numFmtId="166" fontId="16" fillId="0" borderId="1" xfId="0" applyNumberFormat="1" applyFont="1" applyFill="1" applyBorder="1" applyAlignment="1">
      <alignment horizontal="center" vertical="center"/>
    </xf>
    <xf numFmtId="166" fontId="16" fillId="0" borderId="1" xfId="0" applyNumberFormat="1" applyFont="1" applyFill="1" applyBorder="1" applyAlignment="1">
      <alignment horizontal="center"/>
    </xf>
    <xf numFmtId="166" fontId="0" fillId="0" borderId="1" xfId="0" applyNumberFormat="1" applyFont="1" applyFill="1" applyBorder="1" applyAlignment="1">
      <alignment horizontal="center"/>
    </xf>
    <xf numFmtId="166" fontId="16" fillId="0" borderId="0" xfId="0" applyNumberFormat="1" applyFont="1" applyFill="1" applyBorder="1" applyAlignment="1">
      <alignment horizontal="center" vertical="center"/>
    </xf>
    <xf numFmtId="166" fontId="16" fillId="0" borderId="0" xfId="0" applyNumberFormat="1" applyFont="1" applyFill="1" applyBorder="1" applyAlignment="1">
      <alignment horizontal="center"/>
    </xf>
    <xf numFmtId="166" fontId="0" fillId="0" borderId="0" xfId="0" applyNumberFormat="1" applyFont="1" applyFill="1" applyBorder="1" applyAlignment="1">
      <alignment horizontal="center"/>
    </xf>
    <xf numFmtId="166" fontId="5" fillId="0" borderId="0" xfId="0" applyNumberFormat="1" applyFont="1" applyFill="1" applyBorder="1" applyAlignment="1">
      <alignment horizontal="center"/>
    </xf>
    <xf numFmtId="0" fontId="0" fillId="6" borderId="1" xfId="0" applyFont="1" applyFill="1" applyBorder="1" applyAlignment="1">
      <alignment horizontal="center"/>
    </xf>
    <xf numFmtId="0" fontId="0" fillId="8" borderId="1" xfId="0" applyFont="1" applyFill="1" applyBorder="1" applyAlignment="1">
      <alignment horizontal="center"/>
    </xf>
    <xf numFmtId="166" fontId="16" fillId="0" borderId="11" xfId="0" applyNumberFormat="1" applyFont="1" applyFill="1" applyBorder="1" applyAlignment="1">
      <alignment horizontal="center" vertical="center"/>
    </xf>
    <xf numFmtId="0" fontId="8" fillId="0" borderId="1" xfId="0" applyFont="1" applyBorder="1"/>
    <xf numFmtId="0" fontId="0" fillId="26" borderId="1" xfId="0" applyFont="1" applyFill="1" applyBorder="1" applyAlignment="1">
      <alignment horizontal="center"/>
    </xf>
    <xf numFmtId="166" fontId="0" fillId="26" borderId="15" xfId="2" applyNumberFormat="1" applyFont="1" applyFill="1" applyBorder="1" applyAlignment="1">
      <alignment horizontal="center"/>
    </xf>
    <xf numFmtId="166" fontId="16" fillId="26" borderId="1" xfId="0" applyNumberFormat="1" applyFont="1" applyFill="1" applyBorder="1" applyAlignment="1">
      <alignment horizontal="center"/>
    </xf>
    <xf numFmtId="0" fontId="8" fillId="0" borderId="0" xfId="0" applyFont="1" applyBorder="1" applyAlignment="1">
      <alignment horizontal="left"/>
    </xf>
    <xf numFmtId="0" fontId="8" fillId="27" borderId="1" xfId="0" applyFont="1" applyFill="1" applyBorder="1"/>
    <xf numFmtId="0" fontId="31" fillId="4" borderId="2" xfId="0" applyFont="1" applyFill="1" applyBorder="1" applyAlignment="1">
      <alignment horizontal="right"/>
    </xf>
    <xf numFmtId="0" fontId="32" fillId="4" borderId="1" xfId="0" applyFont="1" applyFill="1" applyBorder="1" applyAlignment="1">
      <alignment horizontal="right" vertical="center"/>
    </xf>
    <xf numFmtId="0" fontId="23" fillId="6" borderId="0" xfId="0" applyFont="1" applyFill="1" applyBorder="1"/>
    <xf numFmtId="0" fontId="5" fillId="0" borderId="0" xfId="0" applyFont="1" applyFill="1" applyBorder="1" applyAlignment="1">
      <alignment horizontal="right"/>
    </xf>
    <xf numFmtId="5" fontId="8" fillId="0" borderId="45" xfId="0" applyNumberFormat="1" applyFont="1" applyBorder="1" applyAlignment="1">
      <alignment horizontal="left"/>
    </xf>
    <xf numFmtId="0" fontId="13" fillId="0" borderId="0" xfId="0" applyFont="1" applyBorder="1" applyAlignment="1"/>
    <xf numFmtId="0" fontId="0" fillId="0" borderId="0" xfId="0" applyBorder="1" applyAlignment="1">
      <alignment horizontal="center" vertical="center"/>
    </xf>
    <xf numFmtId="0" fontId="0" fillId="0" borderId="43" xfId="0" applyBorder="1" applyAlignment="1">
      <alignment horizontal="right" vertical="center"/>
    </xf>
    <xf numFmtId="0" fontId="0" fillId="0" borderId="0" xfId="0" applyBorder="1" applyAlignment="1">
      <alignment horizontal="right" vertical="center"/>
    </xf>
    <xf numFmtId="9" fontId="0" fillId="0" borderId="25" xfId="2" applyFont="1" applyBorder="1"/>
    <xf numFmtId="0" fontId="24" fillId="0" borderId="0" xfId="0" applyFont="1" applyBorder="1"/>
    <xf numFmtId="0" fontId="11" fillId="27" borderId="1" xfId="0" applyFont="1" applyFill="1" applyBorder="1" applyAlignment="1">
      <alignment horizontal="center" vertical="center"/>
    </xf>
    <xf numFmtId="5" fontId="10" fillId="22" borderId="1" xfId="0" applyNumberFormat="1" applyFont="1" applyFill="1" applyBorder="1" applyAlignment="1">
      <alignment horizontal="center" vertical="center"/>
    </xf>
    <xf numFmtId="5" fontId="10" fillId="8" borderId="1" xfId="1" applyNumberFormat="1" applyFont="1" applyFill="1" applyBorder="1" applyAlignment="1">
      <alignment horizontal="center" vertical="center"/>
    </xf>
    <xf numFmtId="5" fontId="10" fillId="22" borderId="1" xfId="1" applyNumberFormat="1" applyFont="1" applyFill="1" applyBorder="1" applyAlignment="1">
      <alignment horizontal="center" vertical="center"/>
    </xf>
    <xf numFmtId="9" fontId="10" fillId="26" borderId="1" xfId="2" applyNumberFormat="1" applyFont="1" applyFill="1" applyBorder="1" applyAlignment="1">
      <alignment horizontal="center" vertical="center"/>
    </xf>
    <xf numFmtId="5" fontId="10" fillId="3" borderId="1" xfId="1" applyNumberFormat="1" applyFont="1" applyFill="1" applyBorder="1" applyAlignment="1">
      <alignment horizontal="center" vertical="center"/>
    </xf>
    <xf numFmtId="169" fontId="10" fillId="22" borderId="1" xfId="0" applyNumberFormat="1" applyFont="1" applyFill="1" applyBorder="1" applyAlignment="1">
      <alignment horizontal="center" vertical="center"/>
    </xf>
    <xf numFmtId="169" fontId="10" fillId="2" borderId="1" xfId="1" applyNumberFormat="1" applyFont="1" applyFill="1" applyBorder="1" applyAlignment="1">
      <alignment horizontal="center" vertical="center"/>
    </xf>
    <xf numFmtId="169" fontId="8" fillId="3" borderId="5" xfId="1" applyNumberFormat="1" applyFont="1" applyFill="1" applyBorder="1" applyAlignment="1">
      <alignment horizontal="center" vertical="center"/>
    </xf>
    <xf numFmtId="169" fontId="8" fillId="3" borderId="1" xfId="1" applyNumberFormat="1" applyFont="1" applyFill="1" applyBorder="1" applyAlignment="1">
      <alignment horizontal="center" vertical="center"/>
    </xf>
    <xf numFmtId="169" fontId="8" fillId="3" borderId="21" xfId="1" applyNumberFormat="1" applyFont="1" applyFill="1" applyBorder="1" applyAlignment="1">
      <alignment horizontal="center" vertical="center"/>
    </xf>
    <xf numFmtId="169" fontId="8" fillId="22" borderId="5" xfId="1" applyNumberFormat="1" applyFont="1" applyFill="1" applyBorder="1" applyAlignment="1">
      <alignment horizontal="center" vertical="center"/>
    </xf>
    <xf numFmtId="169" fontId="8" fillId="22" borderId="1" xfId="1" applyNumberFormat="1" applyFont="1" applyFill="1" applyBorder="1" applyAlignment="1">
      <alignment horizontal="center" vertical="center"/>
    </xf>
    <xf numFmtId="169" fontId="8" fillId="22" borderId="21" xfId="1" applyNumberFormat="1" applyFont="1" applyFill="1" applyBorder="1" applyAlignment="1">
      <alignment horizontal="center" vertical="center"/>
    </xf>
    <xf numFmtId="169" fontId="8" fillId="0" borderId="1" xfId="0" applyNumberFormat="1" applyFont="1" applyBorder="1" applyAlignment="1">
      <alignment horizontal="center"/>
    </xf>
    <xf numFmtId="9" fontId="10" fillId="26" borderId="1" xfId="2" applyFont="1" applyFill="1" applyBorder="1" applyAlignment="1">
      <alignment horizontal="center" vertical="center"/>
    </xf>
    <xf numFmtId="167" fontId="10" fillId="27" borderId="1" xfId="0" applyNumberFormat="1" applyFont="1" applyFill="1" applyBorder="1" applyAlignment="1">
      <alignment horizontal="center" vertical="center"/>
    </xf>
    <xf numFmtId="169" fontId="8" fillId="21" borderId="1" xfId="0" applyNumberFormat="1" applyFont="1" applyFill="1" applyBorder="1" applyAlignment="1">
      <alignment horizontal="center"/>
    </xf>
    <xf numFmtId="169" fontId="8" fillId="6" borderId="1" xfId="0" applyNumberFormat="1" applyFont="1" applyFill="1" applyBorder="1" applyAlignment="1">
      <alignment horizontal="center"/>
    </xf>
    <xf numFmtId="169" fontId="8" fillId="3" borderId="1" xfId="0" applyNumberFormat="1" applyFont="1" applyFill="1" applyBorder="1" applyAlignment="1">
      <alignment horizontal="center"/>
    </xf>
    <xf numFmtId="169" fontId="8" fillId="25" borderId="1" xfId="0" applyNumberFormat="1" applyFont="1" applyFill="1" applyBorder="1" applyAlignment="1">
      <alignment horizontal="center"/>
    </xf>
    <xf numFmtId="3" fontId="0" fillId="0" borderId="1" xfId="0" applyNumberFormat="1" applyBorder="1"/>
    <xf numFmtId="171" fontId="0" fillId="0" borderId="0" xfId="0" applyNumberFormat="1"/>
    <xf numFmtId="0" fontId="11" fillId="0" borderId="0" xfId="0" applyFont="1"/>
    <xf numFmtId="0" fontId="31" fillId="4" borderId="0" xfId="0" applyFont="1" applyFill="1"/>
    <xf numFmtId="0" fontId="36" fillId="4" borderId="0" xfId="0" applyFont="1" applyFill="1"/>
    <xf numFmtId="0" fontId="6" fillId="4" borderId="0" xfId="0" applyFont="1" applyFill="1"/>
    <xf numFmtId="5" fontId="5" fillId="0" borderId="17" xfId="1" applyNumberFormat="1" applyFont="1" applyBorder="1" applyAlignment="1">
      <alignment horizontal="center"/>
    </xf>
    <xf numFmtId="5" fontId="5" fillId="0" borderId="30" xfId="1" applyNumberFormat="1" applyFont="1" applyFill="1" applyBorder="1" applyAlignment="1">
      <alignment horizontal="center"/>
    </xf>
    <xf numFmtId="0" fontId="8" fillId="20" borderId="11" xfId="0" applyFont="1" applyFill="1" applyBorder="1" applyAlignment="1">
      <alignment horizontal="center"/>
    </xf>
    <xf numFmtId="0" fontId="13" fillId="0" borderId="10" xfId="0" applyFont="1" applyBorder="1" applyAlignment="1"/>
    <xf numFmtId="0" fontId="31" fillId="4" borderId="14" xfId="0" applyFont="1" applyFill="1" applyBorder="1" applyAlignment="1">
      <alignment horizontal="right"/>
    </xf>
    <xf numFmtId="0" fontId="31" fillId="20" borderId="1" xfId="0" applyFont="1" applyFill="1" applyBorder="1" applyAlignment="1">
      <alignment horizontal="right"/>
    </xf>
    <xf numFmtId="0" fontId="8" fillId="6" borderId="41" xfId="0" applyFont="1" applyFill="1" applyBorder="1" applyAlignment="1">
      <alignment horizontal="right"/>
    </xf>
    <xf numFmtId="0" fontId="8" fillId="6" borderId="11" xfId="0" applyFont="1" applyFill="1" applyBorder="1" applyAlignment="1">
      <alignment horizontal="right"/>
    </xf>
    <xf numFmtId="0" fontId="8" fillId="6" borderId="1" xfId="0" applyFont="1" applyFill="1" applyBorder="1" applyAlignment="1">
      <alignment horizontal="right"/>
    </xf>
    <xf numFmtId="0" fontId="11" fillId="13" borderId="6" xfId="0" applyFont="1" applyFill="1" applyBorder="1" applyAlignment="1">
      <alignment horizontal="center"/>
    </xf>
    <xf numFmtId="0" fontId="11" fillId="13" borderId="7" xfId="0" applyFont="1" applyFill="1" applyBorder="1" applyAlignment="1">
      <alignment horizontal="center"/>
    </xf>
    <xf numFmtId="0" fontId="11" fillId="13" borderId="8" xfId="0" applyFont="1" applyFill="1" applyBorder="1" applyAlignment="1">
      <alignment horizontal="center"/>
    </xf>
    <xf numFmtId="0" fontId="5" fillId="6" borderId="9" xfId="0" applyFont="1" applyFill="1" applyBorder="1" applyAlignment="1">
      <alignment horizontal="center"/>
    </xf>
    <xf numFmtId="0" fontId="5" fillId="6" borderId="11" xfId="0" applyFont="1" applyFill="1" applyBorder="1" applyAlignment="1">
      <alignment horizontal="center"/>
    </xf>
    <xf numFmtId="0" fontId="5" fillId="0" borderId="9" xfId="0" applyFont="1" applyBorder="1" applyAlignment="1">
      <alignment horizontal="left"/>
    </xf>
    <xf numFmtId="0" fontId="5" fillId="0" borderId="10" xfId="0" applyFont="1" applyBorder="1" applyAlignment="1">
      <alignment horizontal="left"/>
    </xf>
    <xf numFmtId="0" fontId="5" fillId="0" borderId="11" xfId="0" applyFont="1" applyBorder="1" applyAlignment="1">
      <alignment horizontal="left"/>
    </xf>
    <xf numFmtId="0" fontId="8" fillId="15" borderId="1" xfId="0" applyFont="1" applyFill="1" applyBorder="1" applyAlignment="1">
      <alignment horizontal="center" vertical="center" wrapText="1"/>
    </xf>
    <xf numFmtId="0" fontId="8" fillId="15" borderId="21" xfId="0" applyFont="1" applyFill="1" applyBorder="1" applyAlignment="1">
      <alignment horizontal="center" vertical="center" wrapText="1"/>
    </xf>
    <xf numFmtId="0" fontId="13" fillId="0" borderId="10" xfId="0" applyFont="1" applyBorder="1" applyAlignment="1">
      <alignment horizontal="center"/>
    </xf>
    <xf numFmtId="0" fontId="21" fillId="14" borderId="16" xfId="0" applyFont="1" applyFill="1" applyBorder="1" applyAlignment="1">
      <alignment horizontal="center"/>
    </xf>
    <xf numFmtId="0" fontId="21" fillId="14" borderId="25" xfId="0" applyFont="1" applyFill="1" applyBorder="1" applyAlignment="1">
      <alignment horizontal="center"/>
    </xf>
    <xf numFmtId="0" fontId="21" fillId="14" borderId="26" xfId="0" applyFont="1" applyFill="1" applyBorder="1" applyAlignment="1">
      <alignment horizontal="center"/>
    </xf>
    <xf numFmtId="0" fontId="21" fillId="14" borderId="18" xfId="0" applyFont="1" applyFill="1" applyBorder="1" applyAlignment="1">
      <alignment horizontal="center"/>
    </xf>
    <xf numFmtId="0" fontId="21" fillId="14" borderId="47" xfId="0" applyFont="1" applyFill="1" applyBorder="1" applyAlignment="1">
      <alignment horizontal="center"/>
    </xf>
    <xf numFmtId="0" fontId="21" fillId="14" borderId="29" xfId="0" applyFont="1" applyFill="1" applyBorder="1" applyAlignment="1">
      <alignment horizontal="center"/>
    </xf>
    <xf numFmtId="0" fontId="8" fillId="7" borderId="16" xfId="0" applyFont="1" applyFill="1" applyBorder="1" applyAlignment="1">
      <alignment horizontal="center" vertical="center" wrapText="1"/>
    </xf>
    <xf numFmtId="0" fontId="8" fillId="7" borderId="26" xfId="0" applyFont="1" applyFill="1" applyBorder="1" applyAlignment="1">
      <alignment horizontal="center" vertical="center" wrapText="1"/>
    </xf>
    <xf numFmtId="0" fontId="8" fillId="7" borderId="18" xfId="0" applyFont="1" applyFill="1" applyBorder="1" applyAlignment="1">
      <alignment horizontal="center" vertical="center" wrapText="1"/>
    </xf>
    <xf numFmtId="0" fontId="8" fillId="7" borderId="29" xfId="0" applyFont="1" applyFill="1" applyBorder="1" applyAlignment="1">
      <alignment horizontal="center" vertical="center" wrapText="1"/>
    </xf>
    <xf numFmtId="0" fontId="10" fillId="8" borderId="41" xfId="0" applyFont="1" applyFill="1" applyBorder="1" applyAlignment="1">
      <alignment horizontal="right" vertical="center"/>
    </xf>
    <xf numFmtId="0" fontId="10" fillId="8" borderId="11" xfId="0" applyFont="1" applyFill="1" applyBorder="1" applyAlignment="1">
      <alignment horizontal="right" vertical="center"/>
    </xf>
    <xf numFmtId="0" fontId="10" fillId="8" borderId="1" xfId="0" applyFont="1" applyFill="1" applyBorder="1" applyAlignment="1">
      <alignment horizontal="right" vertical="center"/>
    </xf>
    <xf numFmtId="0" fontId="8" fillId="0" borderId="0" xfId="0" applyFont="1" applyBorder="1" applyAlignment="1">
      <alignment horizontal="left" vertical="center"/>
    </xf>
    <xf numFmtId="0" fontId="8" fillId="0" borderId="46" xfId="0" applyFont="1" applyBorder="1" applyAlignment="1">
      <alignment horizontal="left" vertical="center"/>
    </xf>
    <xf numFmtId="0" fontId="8" fillId="8" borderId="41" xfId="0" applyFont="1" applyFill="1" applyBorder="1" applyAlignment="1">
      <alignment horizontal="right" vertical="center"/>
    </xf>
    <xf numFmtId="0" fontId="8" fillId="8" borderId="11" xfId="0" applyFont="1" applyFill="1" applyBorder="1" applyAlignment="1">
      <alignment horizontal="right" vertical="center"/>
    </xf>
    <xf numFmtId="0" fontId="8" fillId="8" borderId="1" xfId="0" applyFont="1" applyFill="1" applyBorder="1" applyAlignment="1">
      <alignment horizontal="right" vertical="center"/>
    </xf>
    <xf numFmtId="0" fontId="8" fillId="0" borderId="0" xfId="0" applyFont="1" applyBorder="1" applyAlignment="1">
      <alignment horizontal="left"/>
    </xf>
    <xf numFmtId="0" fontId="8" fillId="0" borderId="46" xfId="0" applyFont="1" applyBorder="1" applyAlignment="1">
      <alignment horizontal="left"/>
    </xf>
    <xf numFmtId="0" fontId="21" fillId="6" borderId="16" xfId="0" applyFont="1" applyFill="1" applyBorder="1" applyAlignment="1">
      <alignment horizontal="center" vertical="center" wrapText="1"/>
    </xf>
    <xf numFmtId="0" fontId="21" fillId="6" borderId="25" xfId="0" applyFont="1" applyFill="1" applyBorder="1" applyAlignment="1">
      <alignment horizontal="center" vertical="center" wrapText="1"/>
    </xf>
    <xf numFmtId="0" fontId="21" fillId="6" borderId="26" xfId="0" applyFont="1" applyFill="1" applyBorder="1" applyAlignment="1">
      <alignment horizontal="center" vertical="center" wrapText="1"/>
    </xf>
    <xf numFmtId="0" fontId="21" fillId="6" borderId="18" xfId="0" applyFont="1" applyFill="1" applyBorder="1" applyAlignment="1">
      <alignment horizontal="center" vertical="center" wrapText="1"/>
    </xf>
    <xf numFmtId="0" fontId="21" fillId="6" borderId="47" xfId="0" applyFont="1" applyFill="1" applyBorder="1" applyAlignment="1">
      <alignment horizontal="center" vertical="center" wrapText="1"/>
    </xf>
    <xf numFmtId="0" fontId="21" fillId="6" borderId="29" xfId="0" applyFont="1" applyFill="1" applyBorder="1" applyAlignment="1">
      <alignment horizontal="center" vertical="center" wrapText="1"/>
    </xf>
    <xf numFmtId="0" fontId="26" fillId="24" borderId="0" xfId="0" applyFont="1" applyFill="1" applyBorder="1" applyAlignment="1">
      <alignment horizontal="right" vertical="center"/>
    </xf>
    <xf numFmtId="0" fontId="26" fillId="24" borderId="15" xfId="0" applyFont="1" applyFill="1" applyBorder="1" applyAlignment="1">
      <alignment horizontal="right" vertical="center"/>
    </xf>
    <xf numFmtId="0" fontId="21" fillId="6" borderId="43" xfId="0" applyFont="1" applyFill="1" applyBorder="1" applyAlignment="1">
      <alignment horizontal="center" vertical="center" wrapText="1"/>
    </xf>
    <xf numFmtId="0" fontId="21" fillId="6" borderId="0" xfId="0" applyFont="1" applyFill="1" applyBorder="1" applyAlignment="1">
      <alignment horizontal="center" vertical="center" wrapText="1"/>
    </xf>
    <xf numFmtId="0" fontId="21" fillId="6" borderId="46" xfId="0" applyFont="1" applyFill="1" applyBorder="1" applyAlignment="1">
      <alignment horizontal="center" vertical="center" wrapText="1"/>
    </xf>
    <xf numFmtId="0" fontId="21" fillId="13" borderId="6" xfId="0" applyFont="1" applyFill="1" applyBorder="1" applyAlignment="1">
      <alignment horizontal="center"/>
    </xf>
    <xf numFmtId="0" fontId="21" fillId="13" borderId="7" xfId="0" applyFont="1" applyFill="1" applyBorder="1" applyAlignment="1">
      <alignment horizontal="center"/>
    </xf>
    <xf numFmtId="0" fontId="21" fillId="13" borderId="8" xfId="0" applyFont="1" applyFill="1" applyBorder="1" applyAlignment="1">
      <alignment horizontal="center"/>
    </xf>
    <xf numFmtId="0" fontId="21" fillId="3" borderId="6" xfId="0" applyFont="1" applyFill="1" applyBorder="1" applyAlignment="1">
      <alignment horizontal="center"/>
    </xf>
    <xf numFmtId="0" fontId="21" fillId="3" borderId="7" xfId="0" applyFont="1" applyFill="1" applyBorder="1" applyAlignment="1">
      <alignment horizontal="center"/>
    </xf>
    <xf numFmtId="0" fontId="21" fillId="3" borderId="8" xfId="0" applyFont="1" applyFill="1" applyBorder="1" applyAlignment="1">
      <alignment horizontal="center"/>
    </xf>
    <xf numFmtId="0" fontId="8" fillId="21" borderId="16" xfId="0" applyFont="1" applyFill="1" applyBorder="1" applyAlignment="1">
      <alignment horizontal="center" vertical="center" wrapText="1"/>
    </xf>
    <xf numFmtId="0" fontId="8" fillId="21" borderId="26" xfId="0" applyFont="1" applyFill="1" applyBorder="1" applyAlignment="1">
      <alignment horizontal="center" vertical="center" wrapText="1"/>
    </xf>
    <xf numFmtId="0" fontId="8" fillId="21" borderId="43" xfId="0" applyFont="1" applyFill="1" applyBorder="1" applyAlignment="1">
      <alignment horizontal="center" vertical="center" wrapText="1"/>
    </xf>
    <xf numFmtId="0" fontId="8" fillId="21" borderId="46"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8" fillId="6" borderId="43" xfId="0" applyFont="1" applyFill="1" applyBorder="1" applyAlignment="1">
      <alignment horizontal="center" vertical="center" wrapText="1"/>
    </xf>
    <xf numFmtId="0" fontId="8" fillId="6" borderId="46"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7" borderId="25" xfId="0" applyFont="1" applyFill="1" applyBorder="1" applyAlignment="1">
      <alignment horizontal="center" vertical="center" wrapText="1"/>
    </xf>
    <xf numFmtId="0" fontId="8" fillId="7" borderId="47"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0" borderId="0" xfId="0" applyFont="1" applyAlignment="1">
      <alignment horizontal="center"/>
    </xf>
    <xf numFmtId="0" fontId="8" fillId="0" borderId="15" xfId="0" applyFont="1" applyBorder="1" applyAlignment="1">
      <alignment horizontal="center"/>
    </xf>
    <xf numFmtId="10" fontId="11" fillId="14" borderId="0" xfId="0" applyNumberFormat="1" applyFont="1" applyFill="1" applyBorder="1" applyAlignment="1">
      <alignment horizontal="center"/>
    </xf>
    <xf numFmtId="10" fontId="11" fillId="14" borderId="15" xfId="0" applyNumberFormat="1" applyFont="1" applyFill="1" applyBorder="1" applyAlignment="1">
      <alignment horizontal="center"/>
    </xf>
    <xf numFmtId="0" fontId="8" fillId="0" borderId="0" xfId="0" applyFont="1" applyAlignment="1">
      <alignment horizontal="left"/>
    </xf>
    <xf numFmtId="0" fontId="8" fillId="0" borderId="15" xfId="0" applyFont="1" applyBorder="1" applyAlignment="1">
      <alignment horizontal="left"/>
    </xf>
    <xf numFmtId="0" fontId="11" fillId="13" borderId="6" xfId="0" applyFont="1" applyFill="1" applyBorder="1" applyAlignment="1">
      <alignment horizontal="center" vertical="center" wrapText="1"/>
    </xf>
    <xf numFmtId="0" fontId="11" fillId="13" borderId="7" xfId="0" applyFont="1" applyFill="1" applyBorder="1" applyAlignment="1">
      <alignment horizontal="center" vertical="center" wrapText="1"/>
    </xf>
    <xf numFmtId="0" fontId="11" fillId="13" borderId="8" xfId="0" applyFont="1" applyFill="1" applyBorder="1" applyAlignment="1">
      <alignment horizontal="center" vertical="center" wrapText="1"/>
    </xf>
    <xf numFmtId="0" fontId="11" fillId="8" borderId="9" xfId="0" applyFont="1" applyFill="1" applyBorder="1" applyAlignment="1">
      <alignment horizontal="center"/>
    </xf>
    <xf numFmtId="0" fontId="11" fillId="8" borderId="10" xfId="0" applyFont="1" applyFill="1" applyBorder="1" applyAlignment="1">
      <alignment horizontal="center"/>
    </xf>
    <xf numFmtId="0" fontId="11" fillId="8" borderId="11" xfId="0" applyFont="1" applyFill="1" applyBorder="1" applyAlignment="1">
      <alignment horizontal="center"/>
    </xf>
    <xf numFmtId="0" fontId="15" fillId="6" borderId="41" xfId="0" applyFont="1" applyFill="1" applyBorder="1" applyAlignment="1">
      <alignment horizontal="right"/>
    </xf>
    <xf numFmtId="0" fontId="15" fillId="6" borderId="11" xfId="0" applyFont="1" applyFill="1" applyBorder="1" applyAlignment="1">
      <alignment horizontal="right"/>
    </xf>
    <xf numFmtId="0" fontId="15" fillId="6" borderId="1" xfId="0" applyFont="1" applyFill="1" applyBorder="1" applyAlignment="1">
      <alignment horizontal="right"/>
    </xf>
    <xf numFmtId="0" fontId="25" fillId="4" borderId="0" xfId="0" applyFont="1" applyFill="1" applyBorder="1" applyAlignment="1">
      <alignment horizontal="center" vertical="center" wrapText="1"/>
    </xf>
    <xf numFmtId="0" fontId="25" fillId="4" borderId="46" xfId="0" applyFont="1" applyFill="1" applyBorder="1" applyAlignment="1">
      <alignment horizontal="center" vertical="center" wrapText="1"/>
    </xf>
    <xf numFmtId="0" fontId="8" fillId="21" borderId="6" xfId="0" applyFont="1" applyFill="1" applyBorder="1" applyAlignment="1">
      <alignment horizontal="center" vertical="center" wrapText="1"/>
    </xf>
    <xf numFmtId="0" fontId="8" fillId="21" borderId="8"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0" borderId="45" xfId="0" applyFont="1" applyBorder="1" applyAlignment="1">
      <alignment horizontal="left"/>
    </xf>
    <xf numFmtId="0" fontId="7" fillId="15" borderId="1" xfId="0" applyFont="1" applyFill="1" applyBorder="1" applyAlignment="1">
      <alignment horizontal="center" vertical="center" wrapText="1"/>
    </xf>
    <xf numFmtId="0" fontId="7" fillId="15" borderId="21" xfId="0" applyFont="1" applyFill="1" applyBorder="1" applyAlignment="1">
      <alignment horizontal="center" vertical="center" wrapText="1"/>
    </xf>
    <xf numFmtId="0" fontId="5" fillId="0" borderId="1" xfId="0" applyFont="1" applyBorder="1" applyAlignment="1">
      <alignment horizontal="left"/>
    </xf>
    <xf numFmtId="0" fontId="28" fillId="3" borderId="6" xfId="0" applyFont="1" applyFill="1" applyBorder="1" applyAlignment="1">
      <alignment horizontal="center"/>
    </xf>
    <xf numFmtId="0" fontId="28" fillId="3" borderId="7" xfId="0" applyFont="1" applyFill="1" applyBorder="1" applyAlignment="1">
      <alignment horizontal="center"/>
    </xf>
    <xf numFmtId="0" fontId="28" fillId="3" borderId="8" xfId="0" applyFont="1" applyFill="1" applyBorder="1" applyAlignment="1">
      <alignment horizontal="center"/>
    </xf>
    <xf numFmtId="0" fontId="7" fillId="2" borderId="0" xfId="0" applyFont="1" applyFill="1" applyBorder="1" applyAlignment="1">
      <alignment horizontal="left"/>
    </xf>
    <xf numFmtId="0" fontId="8" fillId="27" borderId="41" xfId="0" applyFont="1" applyFill="1" applyBorder="1" applyAlignment="1">
      <alignment horizontal="right"/>
    </xf>
    <xf numFmtId="0" fontId="8" fillId="27" borderId="1" xfId="0" applyFont="1" applyFill="1" applyBorder="1" applyAlignment="1">
      <alignment horizontal="right"/>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8" xfId="0" applyFont="1" applyFill="1" applyBorder="1" applyAlignment="1">
      <alignment horizontal="center" vertical="center"/>
    </xf>
    <xf numFmtId="0" fontId="13" fillId="0" borderId="63" xfId="0" applyFont="1" applyBorder="1" applyAlignment="1">
      <alignment horizontal="center"/>
    </xf>
    <xf numFmtId="0" fontId="10" fillId="3" borderId="41" xfId="0" applyFont="1" applyFill="1" applyBorder="1" applyAlignment="1">
      <alignment horizontal="right" vertical="center"/>
    </xf>
    <xf numFmtId="0" fontId="10" fillId="3" borderId="11" xfId="0" applyFont="1" applyFill="1" applyBorder="1" applyAlignment="1">
      <alignment horizontal="right" vertical="center"/>
    </xf>
    <xf numFmtId="0" fontId="10" fillId="3" borderId="1" xfId="0" applyFont="1" applyFill="1" applyBorder="1" applyAlignment="1">
      <alignment horizontal="right" vertical="center"/>
    </xf>
    <xf numFmtId="0" fontId="8" fillId="22" borderId="41" xfId="0" applyFont="1" applyFill="1" applyBorder="1" applyAlignment="1">
      <alignment horizontal="right"/>
    </xf>
    <xf numFmtId="0" fontId="8" fillId="22" borderId="11" xfId="0" applyFont="1" applyFill="1" applyBorder="1" applyAlignment="1">
      <alignment horizontal="right"/>
    </xf>
    <xf numFmtId="0" fontId="8" fillId="22" borderId="1" xfId="0" applyFont="1" applyFill="1" applyBorder="1" applyAlignment="1">
      <alignment horizontal="right"/>
    </xf>
    <xf numFmtId="0" fontId="8" fillId="8" borderId="41" xfId="0" applyFont="1" applyFill="1" applyBorder="1" applyAlignment="1">
      <alignment horizontal="right"/>
    </xf>
    <xf numFmtId="0" fontId="8" fillId="8" borderId="11" xfId="0" applyFont="1" applyFill="1" applyBorder="1" applyAlignment="1">
      <alignment horizontal="right"/>
    </xf>
    <xf numFmtId="0" fontId="8" fillId="8" borderId="1" xfId="0" applyFont="1" applyFill="1" applyBorder="1" applyAlignment="1">
      <alignment horizontal="right"/>
    </xf>
    <xf numFmtId="0" fontId="8" fillId="8" borderId="62" xfId="0" applyFont="1" applyFill="1" applyBorder="1" applyAlignment="1">
      <alignment horizontal="right" vertical="center"/>
    </xf>
    <xf numFmtId="0" fontId="8" fillId="8" borderId="10" xfId="0" applyFont="1" applyFill="1" applyBorder="1" applyAlignment="1">
      <alignment horizontal="right" vertical="center"/>
    </xf>
    <xf numFmtId="0" fontId="8" fillId="26" borderId="41" xfId="0" applyFont="1" applyFill="1" applyBorder="1" applyAlignment="1">
      <alignment horizontal="right" vertical="center"/>
    </xf>
    <xf numFmtId="0" fontId="8" fillId="26" borderId="11" xfId="0" applyFont="1" applyFill="1" applyBorder="1" applyAlignment="1">
      <alignment horizontal="right" vertical="center"/>
    </xf>
    <xf numFmtId="0" fontId="8" fillId="26" borderId="1" xfId="0" applyFont="1" applyFill="1" applyBorder="1" applyAlignment="1">
      <alignment horizontal="right" vertical="center"/>
    </xf>
    <xf numFmtId="0" fontId="8" fillId="22" borderId="41" xfId="0" applyFont="1" applyFill="1" applyBorder="1" applyAlignment="1">
      <alignment horizontal="right" vertical="center"/>
    </xf>
    <xf numFmtId="0" fontId="8" fillId="22" borderId="11" xfId="0" applyFont="1" applyFill="1" applyBorder="1" applyAlignment="1">
      <alignment horizontal="right" vertical="center"/>
    </xf>
    <xf numFmtId="0" fontId="8" fillId="22" borderId="1" xfId="0" applyFont="1" applyFill="1" applyBorder="1" applyAlignment="1">
      <alignment horizontal="right" vertical="center"/>
    </xf>
    <xf numFmtId="0" fontId="11" fillId="12" borderId="6" xfId="0" applyFont="1" applyFill="1" applyBorder="1" applyAlignment="1">
      <alignment horizontal="center"/>
    </xf>
    <xf numFmtId="0" fontId="11" fillId="12" borderId="7" xfId="0" applyFont="1" applyFill="1" applyBorder="1" applyAlignment="1">
      <alignment horizontal="center"/>
    </xf>
    <xf numFmtId="0" fontId="11" fillId="12" borderId="8" xfId="0" applyFont="1" applyFill="1" applyBorder="1" applyAlignment="1">
      <alignment horizontal="center"/>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0" xfId="0" applyFont="1" applyAlignment="1">
      <alignment horizontal="center" vertical="center" wrapText="1"/>
    </xf>
    <xf numFmtId="0" fontId="22" fillId="0" borderId="46"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29" xfId="0" applyFont="1" applyBorder="1" applyAlignment="1">
      <alignment horizontal="center" vertical="center" wrapText="1"/>
    </xf>
    <xf numFmtId="0" fontId="0" fillId="0" borderId="14" xfId="0" applyBorder="1" applyAlignment="1">
      <alignment horizontal="center" vertical="center" wrapText="1"/>
    </xf>
    <xf numFmtId="0" fontId="0" fillId="0" borderId="31" xfId="0" applyBorder="1" applyAlignment="1">
      <alignment horizontal="center" vertical="center" wrapText="1"/>
    </xf>
    <xf numFmtId="0" fontId="0" fillId="0" borderId="18" xfId="0" applyBorder="1" applyAlignment="1">
      <alignment horizontal="center" vertical="center" wrapText="1"/>
    </xf>
    <xf numFmtId="0" fontId="0" fillId="0" borderId="47" xfId="0" applyBorder="1" applyAlignment="1">
      <alignment horizontal="center"/>
    </xf>
    <xf numFmtId="0" fontId="0" fillId="0" borderId="1" xfId="0" applyBorder="1" applyAlignment="1">
      <alignment horizontal="center"/>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0" fillId="0" borderId="24" xfId="0" applyBorder="1" applyAlignment="1">
      <alignment horizontal="center"/>
    </xf>
    <xf numFmtId="0" fontId="7" fillId="7"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0" fillId="6" borderId="9" xfId="0" applyFont="1" applyFill="1" applyBorder="1" applyAlignment="1">
      <alignment horizontal="center"/>
    </xf>
    <xf numFmtId="0" fontId="0" fillId="6" borderId="10" xfId="0" applyFont="1" applyFill="1" applyBorder="1" applyAlignment="1">
      <alignment horizontal="center"/>
    </xf>
    <xf numFmtId="0" fontId="0" fillId="6" borderId="11" xfId="0" applyFont="1" applyFill="1" applyBorder="1" applyAlignment="1">
      <alignment horizontal="center"/>
    </xf>
    <xf numFmtId="0" fontId="0" fillId="6" borderId="1" xfId="0" applyFill="1" applyBorder="1" applyAlignment="1">
      <alignment horizontal="center"/>
    </xf>
    <xf numFmtId="0" fontId="0" fillId="6" borderId="9" xfId="0" applyFill="1" applyBorder="1" applyAlignment="1">
      <alignment horizontal="center"/>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5" fillId="6" borderId="1" xfId="0" applyFont="1" applyFill="1" applyBorder="1" applyAlignment="1">
      <alignment horizontal="center"/>
    </xf>
    <xf numFmtId="0" fontId="8" fillId="3" borderId="18"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0" xfId="0" applyFont="1" applyFill="1" applyAlignment="1">
      <alignment horizontal="center"/>
    </xf>
    <xf numFmtId="0" fontId="5" fillId="6" borderId="53" xfId="0" applyFont="1" applyFill="1" applyBorder="1" applyAlignment="1">
      <alignment horizontal="center"/>
    </xf>
    <xf numFmtId="0" fontId="5" fillId="6" borderId="49" xfId="0" applyFont="1" applyFill="1" applyBorder="1" applyAlignment="1">
      <alignment horizontal="center"/>
    </xf>
    <xf numFmtId="0" fontId="5" fillId="6" borderId="38" xfId="0" applyFont="1" applyFill="1" applyBorder="1" applyAlignment="1">
      <alignment horizontal="center"/>
    </xf>
    <xf numFmtId="0" fontId="3" fillId="3" borderId="0" xfId="0" applyFont="1" applyFill="1" applyBorder="1" applyAlignment="1">
      <alignment horizontal="center" vertical="center" wrapText="1"/>
    </xf>
    <xf numFmtId="0" fontId="5" fillId="0" borderId="36" xfId="0" applyFont="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8" fillId="2" borderId="8" xfId="0" applyFont="1" applyFill="1" applyBorder="1" applyAlignment="1">
      <alignment horizontal="center"/>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15" fillId="2" borderId="6" xfId="0" applyFont="1" applyFill="1" applyBorder="1" applyAlignment="1">
      <alignment horizontal="center"/>
    </xf>
    <xf numFmtId="0" fontId="15" fillId="2" borderId="7" xfId="0" applyFont="1" applyFill="1" applyBorder="1" applyAlignment="1">
      <alignment horizontal="center"/>
    </xf>
    <xf numFmtId="0" fontId="15" fillId="2" borderId="8" xfId="0" applyFont="1" applyFill="1" applyBorder="1" applyAlignment="1">
      <alignment horizontal="center"/>
    </xf>
    <xf numFmtId="0" fontId="10" fillId="2" borderId="16"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5" fillId="20" borderId="24" xfId="0" applyFont="1" applyFill="1" applyBorder="1" applyAlignment="1">
      <alignment horizontal="center" vertical="center" wrapText="1"/>
    </xf>
    <xf numFmtId="0" fontId="5" fillId="20" borderId="5" xfId="0" applyFont="1" applyFill="1" applyBorder="1" applyAlignment="1">
      <alignment horizontal="center" vertical="center" wrapText="1"/>
    </xf>
    <xf numFmtId="0" fontId="14" fillId="16" borderId="12" xfId="0" applyFont="1" applyFill="1" applyBorder="1" applyAlignment="1">
      <alignment horizontal="center" vertical="center" wrapText="1"/>
    </xf>
    <xf numFmtId="0" fontId="14" fillId="16" borderId="5" xfId="0" applyFont="1" applyFill="1" applyBorder="1" applyAlignment="1">
      <alignment horizontal="center" vertical="center" wrapText="1"/>
    </xf>
    <xf numFmtId="0" fontId="8" fillId="0" borderId="49" xfId="0" applyFont="1" applyBorder="1" applyAlignment="1">
      <alignment horizontal="center" vertical="center"/>
    </xf>
    <xf numFmtId="0" fontId="29" fillId="7" borderId="6" xfId="0" applyFont="1" applyFill="1" applyBorder="1" applyAlignment="1">
      <alignment horizontal="center" vertical="center" wrapText="1"/>
    </xf>
    <xf numFmtId="0" fontId="29" fillId="7" borderId="25" xfId="0" applyFont="1" applyFill="1" applyBorder="1" applyAlignment="1">
      <alignment horizontal="center" vertical="center" wrapText="1"/>
    </xf>
    <xf numFmtId="0" fontId="29" fillId="7" borderId="26"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22" fillId="2" borderId="1" xfId="0" applyFont="1" applyFill="1" applyBorder="1" applyAlignment="1">
      <alignment horizontal="center"/>
    </xf>
    <xf numFmtId="0" fontId="30" fillId="7" borderId="6" xfId="0" applyFont="1" applyFill="1" applyBorder="1" applyAlignment="1">
      <alignment horizontal="center" vertical="center" wrapText="1"/>
    </xf>
    <xf numFmtId="0" fontId="30" fillId="7" borderId="7" xfId="0" applyFont="1" applyFill="1" applyBorder="1" applyAlignment="1">
      <alignment horizontal="center" vertical="center" wrapText="1"/>
    </xf>
    <xf numFmtId="0" fontId="30" fillId="7" borderId="8" xfId="0" applyFont="1" applyFill="1" applyBorder="1" applyAlignment="1">
      <alignment horizontal="center" vertical="center" wrapText="1"/>
    </xf>
    <xf numFmtId="0" fontId="8" fillId="14" borderId="6"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8" fillId="14" borderId="8" xfId="0" applyFont="1" applyFill="1" applyBorder="1" applyAlignment="1">
      <alignment horizontal="center" vertical="center" wrapText="1"/>
    </xf>
    <xf numFmtId="0" fontId="0" fillId="0" borderId="6"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8" fillId="8" borderId="6"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8" fillId="10" borderId="8" xfId="0" applyFont="1" applyFill="1" applyBorder="1" applyAlignment="1">
      <alignment horizontal="center" vertical="center" wrapText="1"/>
    </xf>
    <xf numFmtId="169" fontId="13" fillId="0" borderId="40" xfId="0" applyNumberFormat="1" applyFont="1" applyBorder="1" applyAlignment="1">
      <alignment horizontal="center" vertical="center" wrapText="1"/>
    </xf>
    <xf numFmtId="0" fontId="13" fillId="0" borderId="13" xfId="0" applyFont="1" applyBorder="1" applyAlignment="1">
      <alignment horizontal="center" vertical="center" wrapText="1"/>
    </xf>
    <xf numFmtId="0" fontId="10" fillId="0" borderId="45" xfId="0" applyFont="1" applyBorder="1" applyAlignment="1">
      <alignment horizontal="left"/>
    </xf>
    <xf numFmtId="0" fontId="10" fillId="0" borderId="0" xfId="0" applyFont="1" applyBorder="1" applyAlignment="1">
      <alignment horizontal="left"/>
    </xf>
    <xf numFmtId="0" fontId="8" fillId="8" borderId="9" xfId="0" applyFont="1" applyFill="1" applyBorder="1" applyAlignment="1">
      <alignment horizontal="right"/>
    </xf>
  </cellXfs>
  <cellStyles count="4">
    <cellStyle name="Comma" xfId="1" builtinId="3"/>
    <cellStyle name="Currency" xfId="3" builtinId="4"/>
    <cellStyle name="Normal" xfId="0" builtinId="0"/>
    <cellStyle name="Percent" xfId="2" builtinId="5"/>
  </cellStyles>
  <dxfs count="17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baseline="0"/>
              <a:t>THIRTY YEAR VIEW FROM DATE OF RETIREMENT - </a:t>
            </a:r>
            <a:r>
              <a:rPr lang="en-US" baseline="0">
                <a:solidFill>
                  <a:srgbClr val="FFFF00"/>
                </a:solidFill>
              </a:rPr>
              <a:t>PERSON 1</a:t>
            </a:r>
          </a:p>
          <a:p>
            <a:pPr>
              <a:defRPr/>
            </a:pPr>
            <a:r>
              <a:rPr lang="en-US" baseline="0"/>
              <a:t>CUMULATIVE INCOME SHORTFALL OF PENSION AGAINST A PENSION THAT RISES WITH INFLATION</a:t>
            </a:r>
          </a:p>
          <a:p>
            <a:pPr>
              <a:defRPr/>
            </a:pPr>
            <a:r>
              <a:rPr lang="en-US" baseline="0"/>
              <a:t>AND THE POSITIVE IMPACT OF ALTERNATIVE STRATEGIES FOR DISCRETIONARY INCREASES TO REDUCE DECLINE OVER LIFETIME</a:t>
            </a:r>
          </a:p>
          <a:p>
            <a:pPr>
              <a:defRPr/>
            </a:pPr>
            <a:r>
              <a:rPr lang="en-US" sz="2400" baseline="0"/>
              <a:t>(£000s) </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'DETAILED MODELLER - PERSON 1'!$D$63</c:f>
              <c:strCache>
                <c:ptCount val="1"/>
                <c:pt idx="0">
                  <c:v>RPI PENSION (000S)</c:v>
                </c:pt>
              </c:strCache>
            </c:strRef>
          </c:tx>
          <c:spPr>
            <a:ln w="34925" cap="rnd">
              <a:solidFill>
                <a:srgbClr val="00B050"/>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1'!$D$64:$D$93</c:f>
              <c:numCache>
                <c:formatCode>_(* #,##0.0_);_(* \(#,##0.0\);_(* "-"??_);_(@_)</c:formatCode>
                <c:ptCount val="30"/>
                <c:pt idx="0">
                  <c:v>15.39</c:v>
                </c:pt>
                <c:pt idx="1">
                  <c:v>16.005600000000001</c:v>
                </c:pt>
                <c:pt idx="2">
                  <c:v>16.412142240000001</c:v>
                </c:pt>
                <c:pt idx="3">
                  <c:v>16.853628866255999</c:v>
                </c:pt>
                <c:pt idx="4">
                  <c:v>17.190701443581123</c:v>
                </c:pt>
                <c:pt idx="5">
                  <c:v>17.534515472452746</c:v>
                </c:pt>
                <c:pt idx="6">
                  <c:v>17.885205781901799</c:v>
                </c:pt>
                <c:pt idx="7">
                  <c:v>18.242909897539839</c:v>
                </c:pt>
                <c:pt idx="8">
                  <c:v>18.607768095490634</c:v>
                </c:pt>
                <c:pt idx="9">
                  <c:v>18.979923457400449</c:v>
                </c:pt>
                <c:pt idx="10">
                  <c:v>19.359521926548457</c:v>
                </c:pt>
                <c:pt idx="11">
                  <c:v>19.746712365079425</c:v>
                </c:pt>
                <c:pt idx="12">
                  <c:v>20.141646612381013</c:v>
                </c:pt>
                <c:pt idx="13">
                  <c:v>20.544479544628633</c:v>
                </c:pt>
                <c:pt idx="14">
                  <c:v>20.955369135521206</c:v>
                </c:pt>
                <c:pt idx="15">
                  <c:v>21.374476518231628</c:v>
                </c:pt>
                <c:pt idx="16">
                  <c:v>21.801966048596263</c:v>
                </c:pt>
                <c:pt idx="17">
                  <c:v>22.238005369568189</c:v>
                </c:pt>
                <c:pt idx="18">
                  <c:v>22.682765476959553</c:v>
                </c:pt>
                <c:pt idx="19">
                  <c:v>23.136420786498743</c:v>
                </c:pt>
                <c:pt idx="20">
                  <c:v>23.59914920222872</c:v>
                </c:pt>
                <c:pt idx="21">
                  <c:v>24.071132186273296</c:v>
                </c:pt>
                <c:pt idx="22">
                  <c:v>24.552554829998762</c:v>
                </c:pt>
                <c:pt idx="23">
                  <c:v>25.043605926598737</c:v>
                </c:pt>
                <c:pt idx="24">
                  <c:v>25.54447804513071</c:v>
                </c:pt>
                <c:pt idx="25">
                  <c:v>26.055367606033325</c:v>
                </c:pt>
                <c:pt idx="26">
                  <c:v>26.576474958153991</c:v>
                </c:pt>
                <c:pt idx="27">
                  <c:v>27.108004457317072</c:v>
                </c:pt>
                <c:pt idx="28">
                  <c:v>27.650164546463412</c:v>
                </c:pt>
                <c:pt idx="29">
                  <c:v>28.20316783739268</c:v>
                </c:pt>
              </c:numCache>
            </c:numRef>
          </c:val>
          <c:smooth val="0"/>
          <c:extLst>
            <c:ext xmlns:c16="http://schemas.microsoft.com/office/drawing/2014/chart" uri="{C3380CC4-5D6E-409C-BE32-E72D297353CC}">
              <c16:uniqueId val="{00000000-47A7-8449-8B2F-FFAC1FE7E565}"/>
            </c:ext>
          </c:extLst>
        </c:ser>
        <c:ser>
          <c:idx val="1"/>
          <c:order val="1"/>
          <c:tx>
            <c:strRef>
              <c:f>'DETAILED MODELLER - PERSON 1'!$E$63</c:f>
              <c:strCache>
                <c:ptCount val="1"/>
                <c:pt idx="0">
                  <c:v>CURRENT PENSION </c:v>
                </c:pt>
              </c:strCache>
            </c:strRef>
          </c:tx>
          <c:spPr>
            <a:ln w="34925" cap="rnd">
              <a:solidFill>
                <a:schemeClr val="bg1"/>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1'!$E$64:$E$93</c:f>
              <c:numCache>
                <c:formatCode>_(* #,##0.0_);_(* \(#,##0.0\);_(* "-"??_);_(@_)</c:formatCode>
                <c:ptCount val="30"/>
                <c:pt idx="0">
                  <c:v>15.041052631578946</c:v>
                </c:pt>
                <c:pt idx="1">
                  <c:v>15.104383379501384</c:v>
                </c:pt>
                <c:pt idx="2">
                  <c:v>15.144767730852893</c:v>
                </c:pt>
                <c:pt idx="3">
                  <c:v>15.187651336322361</c:v>
                </c:pt>
                <c:pt idx="4">
                  <c:v>15.219625339135671</c:v>
                </c:pt>
                <c:pt idx="5">
                  <c:v>15.251666655639115</c:v>
                </c:pt>
                <c:pt idx="6">
                  <c:v>15.283775427545725</c:v>
                </c:pt>
                <c:pt idx="7">
                  <c:v>15.315951796866873</c:v>
                </c:pt>
                <c:pt idx="8">
                  <c:v>15.34819590591291</c:v>
                </c:pt>
                <c:pt idx="9">
                  <c:v>15.380507897293779</c:v>
                </c:pt>
                <c:pt idx="10">
                  <c:v>15.412887913919661</c:v>
                </c:pt>
                <c:pt idx="11">
                  <c:v>15.445336099001597</c:v>
                </c:pt>
                <c:pt idx="12">
                  <c:v>15.477852596052127</c:v>
                </c:pt>
                <c:pt idx="13">
                  <c:v>15.510437548885921</c:v>
                </c:pt>
                <c:pt idx="14">
                  <c:v>15.543091101620417</c:v>
                </c:pt>
                <c:pt idx="15">
                  <c:v>15.575813398676461</c:v>
                </c:pt>
                <c:pt idx="16">
                  <c:v>15.608604584778938</c:v>
                </c:pt>
                <c:pt idx="17">
                  <c:v>15.641464804957419</c:v>
                </c:pt>
                <c:pt idx="18">
                  <c:v>15.674394204546802</c:v>
                </c:pt>
                <c:pt idx="19">
                  <c:v>15.707392929187954</c:v>
                </c:pt>
                <c:pt idx="20">
                  <c:v>15.740461124828348</c:v>
                </c:pt>
                <c:pt idx="21">
                  <c:v>15.773598937722726</c:v>
                </c:pt>
                <c:pt idx="22">
                  <c:v>15.80680651443372</c:v>
                </c:pt>
                <c:pt idx="23">
                  <c:v>15.840084001832526</c:v>
                </c:pt>
                <c:pt idx="24">
                  <c:v>15.873431547099543</c:v>
                </c:pt>
                <c:pt idx="25">
                  <c:v>15.906849297725016</c:v>
                </c:pt>
                <c:pt idx="26">
                  <c:v>15.9403374015097</c:v>
                </c:pt>
                <c:pt idx="27">
                  <c:v>15.973896006565511</c:v>
                </c:pt>
                <c:pt idx="28">
                  <c:v>16.007525261316175</c:v>
                </c:pt>
                <c:pt idx="29">
                  <c:v>16.04122531449789</c:v>
                </c:pt>
              </c:numCache>
            </c:numRef>
          </c:val>
          <c:smooth val="0"/>
          <c:extLst>
            <c:ext xmlns:c16="http://schemas.microsoft.com/office/drawing/2014/chart" uri="{C3380CC4-5D6E-409C-BE32-E72D297353CC}">
              <c16:uniqueId val="{00000001-47A7-8449-8B2F-FFAC1FE7E565}"/>
            </c:ext>
          </c:extLst>
        </c:ser>
        <c:ser>
          <c:idx val="2"/>
          <c:order val="2"/>
          <c:tx>
            <c:strRef>
              <c:f>'DETAILED MODELLER - PERSON 1'!$F$63</c:f>
              <c:strCache>
                <c:ptCount val="1"/>
                <c:pt idx="0">
                  <c:v>TOTAL INCOME SHORTFALL </c:v>
                </c:pt>
              </c:strCache>
            </c:strRef>
          </c:tx>
          <c:spPr>
            <a:ln w="34925" cap="rnd">
              <a:solidFill>
                <a:srgbClr val="C00000"/>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1'!$F$64:$F$93</c:f>
              <c:numCache>
                <c:formatCode>#,##0.0</c:formatCode>
                <c:ptCount val="30"/>
                <c:pt idx="0">
                  <c:v>-0.34894736842105339</c:v>
                </c:pt>
                <c:pt idx="1">
                  <c:v>-1.2501639889196703</c:v>
                </c:pt>
                <c:pt idx="2">
                  <c:v>-2.5175384980667785</c:v>
                </c:pt>
                <c:pt idx="3">
                  <c:v>-4.183516028000418</c:v>
                </c:pt>
                <c:pt idx="4">
                  <c:v>-6.1545921324458686</c:v>
                </c:pt>
                <c:pt idx="5">
                  <c:v>-8.4374409492594982</c:v>
                </c:pt>
                <c:pt idx="6">
                  <c:v>-11.038871303615576</c:v>
                </c:pt>
                <c:pt idx="7">
                  <c:v>-13.96582940428854</c:v>
                </c:pt>
                <c:pt idx="8">
                  <c:v>-17.225401593866263</c:v>
                </c:pt>
                <c:pt idx="9">
                  <c:v>-20.82481715397293</c:v>
                </c:pt>
                <c:pt idx="10">
                  <c:v>-24.771451166601725</c:v>
                </c:pt>
                <c:pt idx="11">
                  <c:v>-29.072827432679549</c:v>
                </c:pt>
                <c:pt idx="12">
                  <c:v>-33.736621449008439</c:v>
                </c:pt>
                <c:pt idx="13">
                  <c:v>-38.77066344475115</c:v>
                </c:pt>
                <c:pt idx="14">
                  <c:v>-44.182941478651941</c:v>
                </c:pt>
                <c:pt idx="15">
                  <c:v>-49.981604598207106</c:v>
                </c:pt>
                <c:pt idx="16">
                  <c:v>-56.174966062024431</c:v>
                </c:pt>
                <c:pt idx="17">
                  <c:v>-62.771506626635201</c:v>
                </c:pt>
                <c:pt idx="18">
                  <c:v>-69.779877899047946</c:v>
                </c:pt>
                <c:pt idx="19">
                  <c:v>-77.208905756358746</c:v>
                </c:pt>
                <c:pt idx="20">
                  <c:v>-85.067593833759105</c:v>
                </c:pt>
                <c:pt idx="21">
                  <c:v>-93.36512708230967</c:v>
                </c:pt>
                <c:pt idx="22">
                  <c:v>-102.11087539787471</c:v>
                </c:pt>
                <c:pt idx="23">
                  <c:v>-111.31439732264091</c:v>
                </c:pt>
                <c:pt idx="24">
                  <c:v>-120.98544382067207</c:v>
                </c:pt>
                <c:pt idx="25">
                  <c:v>-131.13396212898039</c:v>
                </c:pt>
                <c:pt idx="26">
                  <c:v>-141.77009968562467</c:v>
                </c:pt>
                <c:pt idx="27">
                  <c:v>-152.90420813637621</c:v>
                </c:pt>
                <c:pt idx="28">
                  <c:v>-164.54684742152347</c:v>
                </c:pt>
                <c:pt idx="29">
                  <c:v>-176.70878994441827</c:v>
                </c:pt>
              </c:numCache>
            </c:numRef>
          </c:val>
          <c:smooth val="0"/>
          <c:extLst>
            <c:ext xmlns:c16="http://schemas.microsoft.com/office/drawing/2014/chart" uri="{C3380CC4-5D6E-409C-BE32-E72D297353CC}">
              <c16:uniqueId val="{00000002-47A7-8449-8B2F-FFAC1FE7E565}"/>
            </c:ext>
          </c:extLst>
        </c:ser>
        <c:ser>
          <c:idx val="3"/>
          <c:order val="3"/>
          <c:tx>
            <c:strRef>
              <c:f>'DETAILED MODELLER - PERSON 1'!$G$63</c:f>
              <c:strCache>
                <c:ptCount val="1"/>
                <c:pt idx="0">
                  <c:v>AD-HOC STRATEGY - SHORTFALL</c:v>
                </c:pt>
              </c:strCache>
            </c:strRef>
          </c:tx>
          <c:spPr>
            <a:ln w="34925" cap="rnd">
              <a:solidFill>
                <a:schemeClr val="accent4"/>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1'!$G$64:$G$93</c:f>
              <c:numCache>
                <c:formatCode>#,##0.0</c:formatCode>
                <c:ptCount val="30"/>
                <c:pt idx="0">
                  <c:v>-0.34894736842105339</c:v>
                </c:pt>
                <c:pt idx="1">
                  <c:v>-1.2501639889196703</c:v>
                </c:pt>
                <c:pt idx="2">
                  <c:v>-2.5175384980667785</c:v>
                </c:pt>
                <c:pt idx="3">
                  <c:v>-4.183516028000418</c:v>
                </c:pt>
                <c:pt idx="4">
                  <c:v>-6.018702620489301</c:v>
                </c:pt>
                <c:pt idx="5">
                  <c:v>-8.1653758421632983</c:v>
                </c:pt>
                <c:pt idx="6">
                  <c:v>-10.630343915916288</c:v>
                </c:pt>
                <c:pt idx="7">
                  <c:v>-13.420552446974371</c:v>
                </c:pt>
                <c:pt idx="8">
                  <c:v>-16.543087173106446</c:v>
                </c:pt>
                <c:pt idx="9">
                  <c:v>-20.005176769844425</c:v>
                </c:pt>
                <c:pt idx="10">
                  <c:v>-23.814195711813227</c:v>
                </c:pt>
                <c:pt idx="11">
                  <c:v>-27.977667191292827</c:v>
                </c:pt>
                <c:pt idx="12">
                  <c:v>-32.503266095156967</c:v>
                </c:pt>
                <c:pt idx="13">
                  <c:v>-37.398822041356055</c:v>
                </c:pt>
                <c:pt idx="14">
                  <c:v>-42.672322476135236</c:v>
                </c:pt>
                <c:pt idx="15">
                  <c:v>-48.331915833202217</c:v>
                </c:pt>
                <c:pt idx="16">
                  <c:v>-54.245307906747286</c:v>
                </c:pt>
                <c:pt idx="17">
                  <c:v>-60.561289671843113</c:v>
                </c:pt>
                <c:pt idx="18">
                  <c:v>-67.28851149463668</c:v>
                </c:pt>
                <c:pt idx="19">
                  <c:v>-74.43579800875014</c:v>
                </c:pt>
                <c:pt idx="20">
                  <c:v>-82.012151603283286</c:v>
                </c:pt>
                <c:pt idx="21">
                  <c:v>-90.026755980581655</c:v>
                </c:pt>
                <c:pt idx="22">
                  <c:v>-98.48897978516554</c:v>
                </c:pt>
                <c:pt idx="23">
                  <c:v>-107.40838030524328</c:v>
                </c:pt>
                <c:pt idx="24">
                  <c:v>-116.79470724826029</c:v>
                </c:pt>
                <c:pt idx="25">
                  <c:v>-126.65790659196496</c:v>
                </c:pt>
                <c:pt idx="26">
                  <c:v>-137.00812451250118</c:v>
                </c:pt>
                <c:pt idx="27">
                  <c:v>-147.85571139106864</c:v>
                </c:pt>
                <c:pt idx="28">
                  <c:v>-159.21122590072193</c:v>
                </c:pt>
                <c:pt idx="29">
                  <c:v>-170.93964493773976</c:v>
                </c:pt>
              </c:numCache>
            </c:numRef>
          </c:val>
          <c:smooth val="0"/>
          <c:extLst>
            <c:ext xmlns:c16="http://schemas.microsoft.com/office/drawing/2014/chart" uri="{C3380CC4-5D6E-409C-BE32-E72D297353CC}">
              <c16:uniqueId val="{00000003-47A7-8449-8B2F-FFAC1FE7E565}"/>
            </c:ext>
          </c:extLst>
        </c:ser>
        <c:ser>
          <c:idx val="4"/>
          <c:order val="4"/>
          <c:tx>
            <c:strRef>
              <c:f>'DETAILED MODELLER - PERSON 1'!$H$63</c:f>
              <c:strCache>
                <c:ptCount val="1"/>
                <c:pt idx="0">
                  <c:v>ETHICAL 1 - SHORTFALL</c:v>
                </c:pt>
              </c:strCache>
            </c:strRef>
          </c:tx>
          <c:spPr>
            <a:ln w="34925" cap="rnd">
              <a:solidFill>
                <a:schemeClr val="accent5"/>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1'!$H$64:$H$93</c:f>
              <c:numCache>
                <c:formatCode>#,##0.0</c:formatCode>
                <c:ptCount val="30"/>
                <c:pt idx="0">
                  <c:v>-0.34894736842105339</c:v>
                </c:pt>
                <c:pt idx="1">
                  <c:v>-1.2501639889196703</c:v>
                </c:pt>
                <c:pt idx="2">
                  <c:v>-2.5175384980667785</c:v>
                </c:pt>
                <c:pt idx="3">
                  <c:v>-4.183516028000418</c:v>
                </c:pt>
                <c:pt idx="4">
                  <c:v>-5.8828131085327335</c:v>
                </c:pt>
                <c:pt idx="5">
                  <c:v>-7.8933107350670966</c:v>
                </c:pt>
                <c:pt idx="6">
                  <c:v>-9.9440183141321477</c:v>
                </c:pt>
                <c:pt idx="7">
                  <c:v>-12.319094223145052</c:v>
                </c:pt>
                <c:pt idx="8">
                  <c:v>-14.741671650338215</c:v>
                </c:pt>
                <c:pt idx="9">
                  <c:v>-17.502330353823723</c:v>
                </c:pt>
                <c:pt idx="10">
                  <c:v>-20.318202231378937</c:v>
                </c:pt>
                <c:pt idx="11">
                  <c:v>-23.486435810519872</c:v>
                </c:pt>
                <c:pt idx="12">
                  <c:v>-26.718034061243628</c:v>
                </c:pt>
                <c:pt idx="13">
                  <c:v>-30.316865142400985</c:v>
                </c:pt>
                <c:pt idx="14">
                  <c:v>-33.987672845181486</c:v>
                </c:pt>
                <c:pt idx="15">
                  <c:v>-38.041199380287694</c:v>
                </c:pt>
                <c:pt idx="16">
                  <c:v>-42.175796446096037</c:v>
                </c:pt>
                <c:pt idx="17">
                  <c:v>-46.709238371859904</c:v>
                </c:pt>
                <c:pt idx="18">
                  <c:v>-51.333349136139049</c:v>
                </c:pt>
                <c:pt idx="19">
                  <c:v>-56.373096989509634</c:v>
                </c:pt>
                <c:pt idx="20">
                  <c:v>-61.513639799947633</c:v>
                </c:pt>
                <c:pt idx="21">
                  <c:v>-67.087305370447481</c:v>
                </c:pt>
                <c:pt idx="22">
                  <c:v>-72.772444252357332</c:v>
                </c:pt>
                <c:pt idx="23">
                  <c:v>-78.908913355186968</c:v>
                </c:pt>
                <c:pt idx="24">
                  <c:v>-85.168111840073209</c:v>
                </c:pt>
                <c:pt idx="25">
                  <c:v>-91.897599297314173</c:v>
                </c:pt>
                <c:pt idx="26">
                  <c:v>-98.761676503699945</c:v>
                </c:pt>
                <c:pt idx="27">
                  <c:v>-106.11578342450824</c:v>
                </c:pt>
                <c:pt idx="28">
                  <c:v>-113.6169724837327</c:v>
                </c:pt>
                <c:pt idx="29">
                  <c:v>-121.62874593812381</c:v>
                </c:pt>
              </c:numCache>
            </c:numRef>
          </c:val>
          <c:smooth val="0"/>
          <c:extLst>
            <c:ext xmlns:c16="http://schemas.microsoft.com/office/drawing/2014/chart" uri="{C3380CC4-5D6E-409C-BE32-E72D297353CC}">
              <c16:uniqueId val="{00000004-47A7-8449-8B2F-FFAC1FE7E565}"/>
            </c:ext>
          </c:extLst>
        </c:ser>
        <c:ser>
          <c:idx val="5"/>
          <c:order val="5"/>
          <c:tx>
            <c:strRef>
              <c:f>'DETAILED MODELLER - PERSON 1'!$I$63</c:f>
              <c:strCache>
                <c:ptCount val="1"/>
                <c:pt idx="0">
                  <c:v>ETHICAL 2- SHORTFALL</c:v>
                </c:pt>
              </c:strCache>
            </c:strRef>
          </c:tx>
          <c:spPr>
            <a:ln w="34925" cap="rnd">
              <a:solidFill>
                <a:schemeClr val="accent6"/>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1'!$I$64:$I$93</c:f>
              <c:numCache>
                <c:formatCode>#,##0.0</c:formatCode>
                <c:ptCount val="30"/>
                <c:pt idx="0">
                  <c:v>-0.34894736842105339</c:v>
                </c:pt>
                <c:pt idx="1">
                  <c:v>-1.2501639889196703</c:v>
                </c:pt>
                <c:pt idx="2">
                  <c:v>-2.5175384980667785</c:v>
                </c:pt>
                <c:pt idx="3">
                  <c:v>-4.183516028000418</c:v>
                </c:pt>
                <c:pt idx="4">
                  <c:v>-6.018702620489301</c:v>
                </c:pt>
                <c:pt idx="5">
                  <c:v>-8.027984393495629</c:v>
                </c:pt>
                <c:pt idx="6">
                  <c:v>-10.216361787693975</c:v>
                </c:pt>
                <c:pt idx="7">
                  <c:v>-12.588952036403109</c:v>
                </c:pt>
                <c:pt idx="8">
                  <c:v>-15.150991686944383</c:v>
                </c:pt>
                <c:pt idx="9">
                  <c:v>-17.907839174477608</c:v>
                </c:pt>
                <c:pt idx="10">
                  <c:v>-20.864977449386629</c:v>
                </c:pt>
                <c:pt idx="11">
                  <c:v>-24.028016659308495</c:v>
                </c:pt>
                <c:pt idx="12">
                  <c:v>-27.402696886922314</c:v>
                </c:pt>
                <c:pt idx="13">
                  <c:v>-30.994890944636325</c:v>
                </c:pt>
                <c:pt idx="14">
                  <c:v>-34.810607227334906</c:v>
                </c:pt>
                <c:pt idx="15">
                  <c:v>-38.855992624370607</c:v>
                </c:pt>
                <c:pt idx="16">
                  <c:v>-43.137335492010358</c:v>
                </c:pt>
                <c:pt idx="17">
                  <c:v>-47.661068687569355</c:v>
                </c:pt>
                <c:pt idx="18">
                  <c:v>-52.433772666491194</c:v>
                </c:pt>
                <c:pt idx="19">
                  <c:v>-57.462178643658127</c:v>
                </c:pt>
                <c:pt idx="20">
                  <c:v>-62.753171820241363</c:v>
                </c:pt>
                <c:pt idx="21">
                  <c:v>-68.313794677427822</c:v>
                </c:pt>
                <c:pt idx="22">
                  <c:v>-74.151250338386689</c:v>
                </c:pt>
                <c:pt idx="23">
                  <c:v>-80.272905999866666</c:v>
                </c:pt>
                <c:pt idx="24">
                  <c:v>-86.686296434843101</c:v>
                </c:pt>
                <c:pt idx="25">
                  <c:v>-93.399127567662532</c:v>
                </c:pt>
                <c:pt idx="26">
                  <c:v>-100.41928012316187</c:v>
                </c:pt>
                <c:pt idx="27">
                  <c:v>-107.75481335126862</c:v>
                </c:pt>
                <c:pt idx="28">
                  <c:v>-115.41396882861991</c:v>
                </c:pt>
                <c:pt idx="29">
                  <c:v>-123.40517433876818</c:v>
                </c:pt>
              </c:numCache>
            </c:numRef>
          </c:val>
          <c:smooth val="0"/>
          <c:extLst>
            <c:ext xmlns:c16="http://schemas.microsoft.com/office/drawing/2014/chart" uri="{C3380CC4-5D6E-409C-BE32-E72D297353CC}">
              <c16:uniqueId val="{00000005-47A7-8449-8B2F-FFAC1FE7E565}"/>
            </c:ext>
          </c:extLst>
        </c:ser>
        <c:ser>
          <c:idx val="6"/>
          <c:order val="6"/>
          <c:tx>
            <c:strRef>
              <c:f>'DETAILED MODELLER - PERSON 1'!$J$63</c:f>
              <c:strCache>
                <c:ptCount val="1"/>
                <c:pt idx="0">
                  <c:v>ETHICAL 3 SHORTFALL</c:v>
                </c:pt>
              </c:strCache>
            </c:strRef>
          </c:tx>
          <c:spPr>
            <a:ln w="34925" cap="rnd">
              <a:solidFill>
                <a:schemeClr val="accent1">
                  <a:lumMod val="60000"/>
                </a:schemeClr>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1'!$J$64:$J$93</c:f>
              <c:numCache>
                <c:formatCode>#,##0.0</c:formatCode>
                <c:ptCount val="30"/>
                <c:pt idx="0">
                  <c:v>-0.34894736842105339</c:v>
                </c:pt>
                <c:pt idx="1">
                  <c:v>-1.2501639889196703</c:v>
                </c:pt>
                <c:pt idx="2">
                  <c:v>-2.5175384980667785</c:v>
                </c:pt>
                <c:pt idx="3">
                  <c:v>-4.183516028000418</c:v>
                </c:pt>
                <c:pt idx="4">
                  <c:v>-6.018702620489301</c:v>
                </c:pt>
                <c:pt idx="5">
                  <c:v>-8.027984393495629</c:v>
                </c:pt>
                <c:pt idx="6">
                  <c:v>-10.077451801962086</c:v>
                </c:pt>
                <c:pt idx="7">
                  <c:v>-12.3095967440444</c:v>
                </c:pt>
                <c:pt idx="8">
                  <c:v>-14.72963879772772</c:v>
                </c:pt>
                <c:pt idx="9">
                  <c:v>-17.198081692484703</c:v>
                </c:pt>
                <c:pt idx="10">
                  <c:v>-19.863627744907845</c:v>
                </c:pt>
                <c:pt idx="11">
                  <c:v>-22.731851870937412</c:v>
                </c:pt>
                <c:pt idx="12">
                  <c:v>-25.657440479487569</c:v>
                </c:pt>
                <c:pt idx="13">
                  <c:v>-28.795579273927217</c:v>
                </c:pt>
                <c:pt idx="14">
                  <c:v>-32.152221787809985</c:v>
                </c:pt>
                <c:pt idx="15">
                  <c:v>-35.575997151970398</c:v>
                </c:pt>
                <c:pt idx="16">
                  <c:v>-39.228859560055717</c:v>
                </c:pt>
                <c:pt idx="17">
                  <c:v>-43.117165933086262</c:v>
                </c:pt>
                <c:pt idx="18">
                  <c:v>-47.083238433577414</c:v>
                </c:pt>
                <c:pt idx="19">
                  <c:v>-51.29609753176257</c:v>
                </c:pt>
                <c:pt idx="20">
                  <c:v>-55.762529890175294</c:v>
                </c:pt>
                <c:pt idx="21">
                  <c:v>-60.318290895756277</c:v>
                </c:pt>
                <c:pt idx="22">
                  <c:v>-65.139778337276113</c:v>
                </c:pt>
                <c:pt idx="23">
                  <c:v>-70.23423665689171</c:v>
                </c:pt>
                <c:pt idx="24">
                  <c:v>-75.43058414289959</c:v>
                </c:pt>
                <c:pt idx="25">
                  <c:v>-80.912920799419794</c:v>
                </c:pt>
                <c:pt idx="26">
                  <c:v>-86.688978676513415</c:v>
                </c:pt>
                <c:pt idx="27">
                  <c:v>-92.580557711148913</c:v>
                </c:pt>
                <c:pt idx="28">
                  <c:v>-98.779799501311629</c:v>
                </c:pt>
                <c:pt idx="29">
                  <c:v>-105.29495543614978</c:v>
                </c:pt>
              </c:numCache>
            </c:numRef>
          </c:val>
          <c:smooth val="0"/>
          <c:extLst>
            <c:ext xmlns:c16="http://schemas.microsoft.com/office/drawing/2014/chart" uri="{C3380CC4-5D6E-409C-BE32-E72D297353CC}">
              <c16:uniqueId val="{00000006-47A7-8449-8B2F-FFAC1FE7E565}"/>
            </c:ext>
          </c:extLst>
        </c:ser>
        <c:ser>
          <c:idx val="7"/>
          <c:order val="7"/>
          <c:tx>
            <c:strRef>
              <c:f>'DETAILED MODELLER - PERSON 1'!$K$63</c:f>
              <c:strCache>
                <c:ptCount val="1"/>
                <c:pt idx="0">
                  <c:v>ETHICAL 4 - SHORTFALL</c:v>
                </c:pt>
              </c:strCache>
            </c:strRef>
          </c:tx>
          <c:spPr>
            <a:ln w="34925" cap="rnd">
              <a:solidFill>
                <a:schemeClr val="accent2">
                  <a:lumMod val="60000"/>
                </a:schemeClr>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1'!$K$64:$K$93</c:f>
              <c:numCache>
                <c:formatCode>#,##0.0</c:formatCode>
                <c:ptCount val="30"/>
                <c:pt idx="0">
                  <c:v>-0.34894736842105339</c:v>
                </c:pt>
                <c:pt idx="1">
                  <c:v>-1.2501639889196703</c:v>
                </c:pt>
                <c:pt idx="2">
                  <c:v>-2.5175384980667785</c:v>
                </c:pt>
                <c:pt idx="3">
                  <c:v>-4.183516028000418</c:v>
                </c:pt>
                <c:pt idx="4">
                  <c:v>-5.8828131085327335</c:v>
                </c:pt>
                <c:pt idx="5">
                  <c:v>-7.6160961306756967</c:v>
                </c:pt>
                <c:pt idx="6">
                  <c:v>-9.384044813261518</c:v>
                </c:pt>
                <c:pt idx="7">
                  <c:v>-11.187352469499057</c:v>
                </c:pt>
                <c:pt idx="8">
                  <c:v>-13.02672627886135</c:v>
                </c:pt>
                <c:pt idx="9">
                  <c:v>-14.977904065164619</c:v>
                </c:pt>
                <c:pt idx="10">
                  <c:v>-17.044286637827813</c:v>
                </c:pt>
                <c:pt idx="11">
                  <c:v>-19.229360906422176</c:v>
                </c:pt>
                <c:pt idx="12">
                  <c:v>-21.536701883451649</c:v>
                </c:pt>
                <c:pt idx="13">
                  <c:v>-23.969974731548284</c:v>
                </c:pt>
                <c:pt idx="14">
                  <c:v>-26.53293685603871</c:v>
                </c:pt>
                <c:pt idx="15">
                  <c:v>-29.31172186469658</c:v>
                </c:pt>
                <c:pt idx="16">
                  <c:v>-32.312465076508005</c:v>
                </c:pt>
                <c:pt idx="17">
                  <c:v>-35.541444620042689</c:v>
                </c:pt>
                <c:pt idx="18">
                  <c:v>-39.005084511838888</c:v>
                </c:pt>
                <c:pt idx="19">
                  <c:v>-42.709957798811949</c:v>
                </c:pt>
                <c:pt idx="20">
                  <c:v>-46.662789765993914</c:v>
                </c:pt>
                <c:pt idx="21">
                  <c:v>-50.870461210938352</c:v>
                </c:pt>
                <c:pt idx="22">
                  <c:v>-55.340011786151464</c:v>
                </c:pt>
                <c:pt idx="23">
                  <c:v>-60.078643410937978</c:v>
                </c:pt>
                <c:pt idx="24">
                  <c:v>-65.093723754078539</c:v>
                </c:pt>
                <c:pt idx="25">
                  <c:v>-70.392789788783915</c:v>
                </c:pt>
                <c:pt idx="26">
                  <c:v>-75.983551421400563</c:v>
                </c:pt>
                <c:pt idx="27">
                  <c:v>-81.873895195371716</c:v>
                </c:pt>
                <c:pt idx="28">
                  <c:v>-88.071888071989079</c:v>
                </c:pt>
                <c:pt idx="29">
                  <c:v>-94.681751531181447</c:v>
                </c:pt>
              </c:numCache>
            </c:numRef>
          </c:val>
          <c:smooth val="0"/>
          <c:extLst>
            <c:ext xmlns:c16="http://schemas.microsoft.com/office/drawing/2014/chart" uri="{C3380CC4-5D6E-409C-BE32-E72D297353CC}">
              <c16:uniqueId val="{00000007-47A7-8449-8B2F-FFAC1FE7E565}"/>
            </c:ext>
          </c:extLst>
        </c:ser>
        <c:dLbls>
          <c:showLegendKey val="0"/>
          <c:showVal val="0"/>
          <c:showCatName val="0"/>
          <c:showSerName val="0"/>
          <c:showPercent val="0"/>
          <c:showBubbleSize val="0"/>
        </c:dLbls>
        <c:smooth val="0"/>
        <c:axId val="273423983"/>
        <c:axId val="225143615"/>
      </c:lineChart>
      <c:catAx>
        <c:axId val="273423983"/>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25143615"/>
        <c:crosses val="autoZero"/>
        <c:auto val="1"/>
        <c:lblAlgn val="ctr"/>
        <c:lblOffset val="100"/>
        <c:noMultiLvlLbl val="0"/>
      </c:catAx>
      <c:valAx>
        <c:axId val="225143615"/>
        <c:scaling>
          <c:orientation val="minMax"/>
        </c:scaling>
        <c:delete val="0"/>
        <c:axPos val="l"/>
        <c:majorGridlines>
          <c:spPr>
            <a:ln w="9525" cap="flat" cmpd="sng" algn="ctr">
              <a:solidFill>
                <a:schemeClr val="lt1">
                  <a:lumMod val="95000"/>
                  <a:alpha val="10000"/>
                </a:schemeClr>
              </a:solidFill>
              <a:round/>
            </a:ln>
            <a:effectLst/>
          </c:spPr>
        </c:majorGridlines>
        <c:title>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title>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73423983"/>
        <c:crosses val="autoZero"/>
        <c:crossBetween val="between"/>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400"/>
              <a:t>THIRTY YEAR VIEW FROM DATE OF RETIREMENT - </a:t>
            </a:r>
            <a:r>
              <a:rPr lang="en-US" sz="1400">
                <a:solidFill>
                  <a:srgbClr val="FFFF00"/>
                </a:solidFill>
              </a:rPr>
              <a:t>PERSON 1</a:t>
            </a:r>
          </a:p>
          <a:p>
            <a:pPr>
              <a:defRPr sz="1400"/>
            </a:pPr>
            <a:r>
              <a:rPr lang="en-US" sz="1400"/>
              <a:t>VALUE OF</a:t>
            </a:r>
            <a:r>
              <a:rPr lang="en-US" sz="1400" baseline="0"/>
              <a:t> </a:t>
            </a:r>
            <a:r>
              <a:rPr lang="en-US" sz="1400"/>
              <a:t>PENSION &amp; IT'S BUYING POWER CONTRASTED WITH A PENSION THAT RISES </a:t>
            </a:r>
            <a:r>
              <a:rPr lang="en-US" sz="1400" baseline="0"/>
              <a:t> WITH RPI</a:t>
            </a:r>
            <a:endParaRPr lang="en-US" sz="1400"/>
          </a:p>
          <a:p>
            <a:pPr>
              <a:defRPr sz="1400"/>
            </a:pPr>
            <a:r>
              <a:rPr lang="en-US" sz="1400"/>
              <a:t> AND THE POSITIVE</a:t>
            </a:r>
            <a:r>
              <a:rPr lang="en-US" sz="1400" baseline="0"/>
              <a:t> </a:t>
            </a:r>
            <a:r>
              <a:rPr lang="en-US" sz="1400"/>
              <a:t>IMPACT OF ALTERNATIVE</a:t>
            </a:r>
            <a:r>
              <a:rPr lang="en-US" sz="1400" baseline="0"/>
              <a:t> STRATEGIES OF IMPROVED DISCRETIONARY INCREASES OVER LIFETIME</a:t>
            </a:r>
            <a:endParaRPr lang="en-US" sz="1400"/>
          </a:p>
          <a:p>
            <a:pPr>
              <a:defRPr sz="1400"/>
            </a:pPr>
            <a:endParaRPr lang="en-US" sz="1400"/>
          </a:p>
        </c:rich>
      </c:tx>
      <c:layout>
        <c:manualLayout>
          <c:xMode val="edge"/>
          <c:yMode val="edge"/>
          <c:x val="0.13718558858556779"/>
          <c:y val="2.0776254624798405E-2"/>
        </c:manualLayout>
      </c:layout>
      <c:overlay val="0"/>
      <c:spPr>
        <a:noFill/>
        <a:ln>
          <a:solidFill>
            <a:schemeClr val="bg1"/>
          </a:solidFill>
        </a:ln>
        <a:effectLst/>
      </c:spPr>
      <c:txPr>
        <a:bodyPr rot="0" spcFirstLastPara="1" vertOverflow="ellipsis" vert="horz" wrap="square" anchor="ctr" anchorCtr="1"/>
        <a:lstStyle/>
        <a:p>
          <a:pPr>
            <a:defRPr sz="14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9.9459235018240402E-2"/>
          <c:y val="2.1158645550292489E-2"/>
          <c:w val="0.85730831148801334"/>
          <c:h val="0.82071429337634483"/>
        </c:manualLayout>
      </c:layout>
      <c:lineChart>
        <c:grouping val="standard"/>
        <c:varyColors val="0"/>
        <c:ser>
          <c:idx val="0"/>
          <c:order val="0"/>
          <c:tx>
            <c:strRef>
              <c:f>'DETAILED MODELLER - PERSON 1'!$D$97</c:f>
              <c:strCache>
                <c:ptCount val="1"/>
                <c:pt idx="0">
                  <c:v>PENSION BUYING POWER</c:v>
                </c:pt>
              </c:strCache>
            </c:strRef>
          </c:tx>
          <c:spPr>
            <a:ln w="41275" cap="rnd">
              <a:solidFill>
                <a:srgbClr val="FF0000"/>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1'!$D$98:$D$127</c:f>
              <c:numCache>
                <c:formatCode>"£"#,##0</c:formatCode>
                <c:ptCount val="30"/>
                <c:pt idx="0">
                  <c:v>14692.105263157893</c:v>
                </c:pt>
                <c:pt idx="1">
                  <c:v>14203.166759002766</c:v>
                </c:pt>
                <c:pt idx="2">
                  <c:v>13877.393221705785</c:v>
                </c:pt>
                <c:pt idx="3">
                  <c:v>13521.673806388721</c:v>
                </c:pt>
                <c:pt idx="4">
                  <c:v>13248.549234690221</c:v>
                </c:pt>
                <c:pt idx="5">
                  <c:v>12968.817838825486</c:v>
                </c:pt>
                <c:pt idx="6">
                  <c:v>12682.345073189648</c:v>
                </c:pt>
                <c:pt idx="7">
                  <c:v>12388.993696193909</c:v>
                </c:pt>
                <c:pt idx="8">
                  <c:v>12088.623716335183</c:v>
                </c:pt>
                <c:pt idx="9">
                  <c:v>11781.09233718711</c:v>
                </c:pt>
                <c:pt idx="10">
                  <c:v>11466.253901290867</c:v>
                </c:pt>
                <c:pt idx="11">
                  <c:v>11143.959832923771</c:v>
                </c:pt>
                <c:pt idx="12">
                  <c:v>10814.058579723242</c:v>
                </c:pt>
                <c:pt idx="13">
                  <c:v>10476.395553143208</c:v>
                </c:pt>
                <c:pt idx="14">
                  <c:v>10130.813067719628</c:v>
                </c:pt>
                <c:pt idx="15">
                  <c:v>9777.1502791212915</c:v>
                </c:pt>
                <c:pt idx="16">
                  <c:v>9415.2431209616116</c:v>
                </c:pt>
                <c:pt idx="17">
                  <c:v>9044.9242403466487</c:v>
                </c:pt>
                <c:pt idx="18">
                  <c:v>8666.0229321340521</c:v>
                </c:pt>
                <c:pt idx="19">
                  <c:v>8278.3650718771642</c:v>
                </c:pt>
                <c:pt idx="20">
                  <c:v>7881.7730474279779</c:v>
                </c:pt>
                <c:pt idx="21">
                  <c:v>7476.0656891721555</c:v>
                </c:pt>
                <c:pt idx="22">
                  <c:v>7061.058198868679</c:v>
                </c:pt>
                <c:pt idx="23">
                  <c:v>6636.562077066319</c:v>
                </c:pt>
                <c:pt idx="24">
                  <c:v>6202.3850490683762</c:v>
                </c:pt>
                <c:pt idx="25">
                  <c:v>5758.3309894167069</c:v>
                </c:pt>
                <c:pt idx="26">
                  <c:v>5304.1998448654085</c:v>
                </c:pt>
                <c:pt idx="27">
                  <c:v>4839.7875558139494</c:v>
                </c:pt>
                <c:pt idx="28">
                  <c:v>4364.8859761689346</c:v>
                </c:pt>
                <c:pt idx="29">
                  <c:v>3879.2827916031019</c:v>
                </c:pt>
              </c:numCache>
            </c:numRef>
          </c:val>
          <c:smooth val="0"/>
          <c:extLst>
            <c:ext xmlns:c16="http://schemas.microsoft.com/office/drawing/2014/chart" uri="{C3380CC4-5D6E-409C-BE32-E72D297353CC}">
              <c16:uniqueId val="{00000000-8927-9447-8508-435AF9BEE869}"/>
            </c:ext>
          </c:extLst>
        </c:ser>
        <c:ser>
          <c:idx val="1"/>
          <c:order val="1"/>
          <c:tx>
            <c:strRef>
              <c:f>'DETAILED MODELLER - PERSON 1'!$E$97</c:f>
              <c:strCache>
                <c:ptCount val="1"/>
                <c:pt idx="0">
                  <c:v>AD-HOC STRATEGY</c:v>
                </c:pt>
              </c:strCache>
            </c:strRef>
          </c:tx>
          <c:spPr>
            <a:ln w="34925" cap="rnd">
              <a:solidFill>
                <a:schemeClr val="accent2"/>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1'!$E$98:$E$127</c:f>
              <c:numCache>
                <c:formatCode>"£"#,##0</c:formatCode>
                <c:ptCount val="30"/>
                <c:pt idx="1">
                  <c:v>14203.166759002766</c:v>
                </c:pt>
                <c:pt idx="2">
                  <c:v>13877.393221705785</c:v>
                </c:pt>
                <c:pt idx="3">
                  <c:v>13521.673806388721</c:v>
                </c:pt>
                <c:pt idx="4">
                  <c:v>13520.328258603357</c:v>
                </c:pt>
                <c:pt idx="5">
                  <c:v>13241.169029104753</c:v>
                </c:pt>
                <c:pt idx="6">
                  <c:v>12955.26963439582</c:v>
                </c:pt>
                <c:pt idx="7">
                  <c:v>12662.492835423673</c:v>
                </c:pt>
                <c:pt idx="8">
                  <c:v>12362.698643226482</c:v>
                </c:pt>
                <c:pt idx="9">
                  <c:v>12055.744263924495</c:v>
                </c:pt>
                <c:pt idx="10">
                  <c:v>11741.484042610853</c:v>
                </c:pt>
                <c:pt idx="11">
                  <c:v>11419.76940612022</c:v>
                </c:pt>
                <c:pt idx="12">
                  <c:v>11090.448804652737</c:v>
                </c:pt>
                <c:pt idx="13">
                  <c:v>10753.367652230452</c:v>
                </c:pt>
                <c:pt idx="14">
                  <c:v>10408.368265962847</c:v>
                </c:pt>
                <c:pt idx="15">
                  <c:v>10055.289804097654</c:v>
                </c:pt>
                <c:pt idx="16">
                  <c:v>9975.1819015061337</c:v>
                </c:pt>
                <c:pt idx="17">
                  <c:v>9606.0418393765285</c:v>
                </c:pt>
                <c:pt idx="18">
                  <c:v>9228.3218313724174</c:v>
                </c:pt>
                <c:pt idx="19">
                  <c:v>8841.8477582718224</c:v>
                </c:pt>
                <c:pt idx="20">
                  <c:v>8446.4420131624138</c:v>
                </c:pt>
                <c:pt idx="21">
                  <c:v>8041.9234316765578</c:v>
                </c:pt>
                <c:pt idx="22">
                  <c:v>7628.1072208309852</c:v>
                </c:pt>
                <c:pt idx="23">
                  <c:v>7204.8048864432822</c:v>
                </c:pt>
                <c:pt idx="24">
                  <c:v>6771.8241590966609</c:v>
                </c:pt>
                <c:pt idx="25">
                  <c:v>6328.9689186239993</c:v>
                </c:pt>
                <c:pt idx="26">
                  <c:v>5876.0391170815565</c:v>
                </c:pt>
                <c:pt idx="27">
                  <c:v>5412.8307001821304</c:v>
                </c:pt>
                <c:pt idx="28">
                  <c:v>4939.1355271568391</c:v>
                </c:pt>
                <c:pt idx="29">
                  <c:v>4746.3297633570583</c:v>
                </c:pt>
              </c:numCache>
            </c:numRef>
          </c:val>
          <c:smooth val="0"/>
          <c:extLst>
            <c:ext xmlns:c16="http://schemas.microsoft.com/office/drawing/2014/chart" uri="{C3380CC4-5D6E-409C-BE32-E72D297353CC}">
              <c16:uniqueId val="{00000001-8927-9447-8508-435AF9BEE869}"/>
            </c:ext>
          </c:extLst>
        </c:ser>
        <c:ser>
          <c:idx val="2"/>
          <c:order val="2"/>
          <c:tx>
            <c:strRef>
              <c:f>'DETAILED MODELLER - PERSON 1'!$F$97</c:f>
              <c:strCache>
                <c:ptCount val="1"/>
                <c:pt idx="0">
                  <c:v>ETHICAL 1 - BUY POWER</c:v>
                </c:pt>
              </c:strCache>
            </c:strRef>
          </c:tx>
          <c:spPr>
            <a:ln w="34925" cap="rnd">
              <a:solidFill>
                <a:schemeClr val="accent3"/>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1'!$F$98:$F$127</c:f>
              <c:numCache>
                <c:formatCode>"£"#,##0</c:formatCode>
                <c:ptCount val="30"/>
                <c:pt idx="1">
                  <c:v>14203.166759002766</c:v>
                </c:pt>
                <c:pt idx="2">
                  <c:v>13877.393221705785</c:v>
                </c:pt>
                <c:pt idx="3">
                  <c:v>13521.673806388721</c:v>
                </c:pt>
                <c:pt idx="4">
                  <c:v>13792.107282516492</c:v>
                </c:pt>
                <c:pt idx="5">
                  <c:v>13513.52021938402</c:v>
                </c:pt>
                <c:pt idx="6">
                  <c:v>13783.7906237717</c:v>
                </c:pt>
                <c:pt idx="7">
                  <c:v>13492.758079514027</c:v>
                </c:pt>
                <c:pt idx="8">
                  <c:v>13762.613241104307</c:v>
                </c:pt>
                <c:pt idx="9">
                  <c:v>13458.606050429433</c:v>
                </c:pt>
                <c:pt idx="10">
                  <c:v>13727.778171438025</c:v>
                </c:pt>
                <c:pt idx="11">
                  <c:v>13410.245206797554</c:v>
                </c:pt>
                <c:pt idx="12">
                  <c:v>13678.450110933507</c:v>
                </c:pt>
                <c:pt idx="13">
                  <c:v>13346.817382313919</c:v>
                </c:pt>
                <c:pt idx="14">
                  <c:v>13613.753729960197</c:v>
                </c:pt>
                <c:pt idx="15">
                  <c:v>13267.423448019206</c:v>
                </c:pt>
                <c:pt idx="16">
                  <c:v>13532.771916979593</c:v>
                </c:pt>
                <c:pt idx="17">
                  <c:v>13171.121518040458</c:v>
                </c:pt>
                <c:pt idx="18">
                  <c:v>13434.543948401268</c:v>
                </c:pt>
                <c:pt idx="19">
                  <c:v>13056.925079757577</c:v>
                </c:pt>
                <c:pt idx="20">
                  <c:v>13318.063581352726</c:v>
                </c:pt>
                <c:pt idx="21">
                  <c:v>12923.801045273583</c:v>
                </c:pt>
                <c:pt idx="22">
                  <c:v>13182.277066179053</c:v>
                </c:pt>
                <c:pt idx="23">
                  <c:v>12770.667720939455</c:v>
                </c:pt>
                <c:pt idx="24">
                  <c:v>13026.081075358248</c:v>
                </c:pt>
                <c:pt idx="25">
                  <c:v>12596.392691551402</c:v>
                </c:pt>
                <c:pt idx="26">
                  <c:v>12848.32054538243</c:v>
                </c:pt>
                <c:pt idx="27">
                  <c:v>12399.79061570048</c:v>
                </c:pt>
                <c:pt idx="28">
                  <c:v>12647.786428014486</c:v>
                </c:pt>
                <c:pt idx="29">
                  <c:v>12179.620928610431</c:v>
                </c:pt>
              </c:numCache>
            </c:numRef>
          </c:val>
          <c:smooth val="0"/>
          <c:extLst>
            <c:ext xmlns:c16="http://schemas.microsoft.com/office/drawing/2014/chart" uri="{C3380CC4-5D6E-409C-BE32-E72D297353CC}">
              <c16:uniqueId val="{00000002-8927-9447-8508-435AF9BEE869}"/>
            </c:ext>
          </c:extLst>
        </c:ser>
        <c:ser>
          <c:idx val="3"/>
          <c:order val="3"/>
          <c:tx>
            <c:strRef>
              <c:f>'DETAILED MODELLER - PERSON 1'!$G$97</c:f>
              <c:strCache>
                <c:ptCount val="1"/>
                <c:pt idx="0">
                  <c:v>ETHICAL 2 - BUY POWER</c:v>
                </c:pt>
              </c:strCache>
            </c:strRef>
          </c:tx>
          <c:spPr>
            <a:ln w="34925" cap="rnd">
              <a:solidFill>
                <a:schemeClr val="accent4"/>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1'!$G$98:$G$127</c:f>
              <c:numCache>
                <c:formatCode>"£"#,##0</c:formatCode>
                <c:ptCount val="30"/>
                <c:pt idx="1">
                  <c:v>14203.166759002766</c:v>
                </c:pt>
                <c:pt idx="2">
                  <c:v>13877.393221705785</c:v>
                </c:pt>
                <c:pt idx="3">
                  <c:v>13521.673806388721</c:v>
                </c:pt>
                <c:pt idx="4">
                  <c:v>13520.328258603357</c:v>
                </c:pt>
                <c:pt idx="5">
                  <c:v>13515.951926440088</c:v>
                </c:pt>
                <c:pt idx="6">
                  <c:v>13508.45099350511</c:v>
                </c:pt>
                <c:pt idx="7">
                  <c:v>13497.729400121571</c:v>
                </c:pt>
                <c:pt idx="8">
                  <c:v>13483.688794408085</c:v>
                </c:pt>
                <c:pt idx="9">
                  <c:v>13466.228482333994</c:v>
                </c:pt>
                <c:pt idx="10">
                  <c:v>13445.245376730418</c:v>
                </c:pt>
                <c:pt idx="11">
                  <c:v>13420.633945235691</c:v>
                </c:pt>
                <c:pt idx="12">
                  <c:v>13392.286157153376</c:v>
                </c:pt>
                <c:pt idx="13">
                  <c:v>13360.091429200609</c:v>
                </c:pt>
                <c:pt idx="14">
                  <c:v>13323.936570124046</c:v>
                </c:pt>
                <c:pt idx="15">
                  <c:v>13283.705724160227</c:v>
                </c:pt>
                <c:pt idx="16">
                  <c:v>13239.280313316765</c:v>
                </c:pt>
                <c:pt idx="17">
                  <c:v>13190.538978450193</c:v>
                </c:pt>
                <c:pt idx="18">
                  <c:v>13137.357519115874</c:v>
                </c:pt>
                <c:pt idx="19">
                  <c:v>13079.608832164889</c:v>
                </c:pt>
                <c:pt idx="20">
                  <c:v>13017.162849062246</c:v>
                </c:pt>
                <c:pt idx="21">
                  <c:v>12949.886471900361</c:v>
                </c:pt>
                <c:pt idx="22">
                  <c:v>12877.643508081022</c:v>
                </c:pt>
                <c:pt idx="23">
                  <c:v>12800.294603638773</c:v>
                </c:pt>
                <c:pt idx="24">
                  <c:v>12717.697175177847</c:v>
                </c:pt>
                <c:pt idx="25">
                  <c:v>12629.70534039443</c:v>
                </c:pt>
                <c:pt idx="26">
                  <c:v>12536.169847155335</c:v>
                </c:pt>
                <c:pt idx="27">
                  <c:v>12436.938001103572</c:v>
                </c:pt>
                <c:pt idx="28">
                  <c:v>12331.853591760824</c:v>
                </c:pt>
                <c:pt idx="29">
                  <c:v>12220.756817096142</c:v>
                </c:pt>
              </c:numCache>
            </c:numRef>
          </c:val>
          <c:smooth val="0"/>
          <c:extLst>
            <c:ext xmlns:c16="http://schemas.microsoft.com/office/drawing/2014/chart" uri="{C3380CC4-5D6E-409C-BE32-E72D297353CC}">
              <c16:uniqueId val="{00000003-8927-9447-8508-435AF9BEE869}"/>
            </c:ext>
          </c:extLst>
        </c:ser>
        <c:ser>
          <c:idx val="4"/>
          <c:order val="4"/>
          <c:tx>
            <c:strRef>
              <c:f>'DETAILED MODELLER - PERSON 1'!$H$97</c:f>
              <c:strCache>
                <c:ptCount val="1"/>
                <c:pt idx="0">
                  <c:v>ETHICAL 3 - BUY POWER</c:v>
                </c:pt>
              </c:strCache>
            </c:strRef>
          </c:tx>
          <c:spPr>
            <a:ln w="34925" cap="rnd">
              <a:solidFill>
                <a:schemeClr val="accent5"/>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1'!$H$98:$H$127</c:f>
              <c:numCache>
                <c:formatCode>"£"#,##0</c:formatCode>
                <c:ptCount val="30"/>
                <c:pt idx="1">
                  <c:v>14203.166759002766</c:v>
                </c:pt>
                <c:pt idx="2">
                  <c:v>13877.393221705785</c:v>
                </c:pt>
                <c:pt idx="3">
                  <c:v>13521.673806388721</c:v>
                </c:pt>
                <c:pt idx="4">
                  <c:v>13520.328258603357</c:v>
                </c:pt>
                <c:pt idx="5">
                  <c:v>13515.951926440088</c:v>
                </c:pt>
                <c:pt idx="6">
                  <c:v>13786.270964968888</c:v>
                </c:pt>
                <c:pt idx="7">
                  <c:v>13778.62001337521</c:v>
                </c:pt>
                <c:pt idx="8">
                  <c:v>13767.683988123998</c:v>
                </c:pt>
                <c:pt idx="9">
                  <c:v>14043.037667886481</c:v>
                </c:pt>
                <c:pt idx="10">
                  <c:v>14028.429821702171</c:v>
                </c:pt>
                <c:pt idx="11">
                  <c:v>14010.26411302029</c:v>
                </c:pt>
                <c:pt idx="12">
                  <c:v>14290.469395280696</c:v>
                </c:pt>
                <c:pt idx="13">
                  <c:v>14268.201955749337</c:v>
                </c:pt>
                <c:pt idx="14">
                  <c:v>14242.084107755676</c:v>
                </c:pt>
                <c:pt idx="15">
                  <c:v>14526.925789910794</c:v>
                </c:pt>
                <c:pt idx="16">
                  <c:v>14496.241232425633</c:v>
                </c:pt>
                <c:pt idx="17">
                  <c:v>14461.392623507109</c:v>
                </c:pt>
                <c:pt idx="18">
                  <c:v>14750.620475977252</c:v>
                </c:pt>
                <c:pt idx="19">
                  <c:v>14710.702590128418</c:v>
                </c:pt>
                <c:pt idx="20">
                  <c:v>14666.284485403266</c:v>
                </c:pt>
                <c:pt idx="21">
                  <c:v>14959.610175111331</c:v>
                </c:pt>
                <c:pt idx="22">
                  <c:v>14909.579946959067</c:v>
                </c:pt>
                <c:pt idx="23">
                  <c:v>14854.689287367575</c:v>
                </c:pt>
                <c:pt idx="24">
                  <c:v>15151.78307311493</c:v>
                </c:pt>
                <c:pt idx="25">
                  <c:v>15090.694292992921</c:v>
                </c:pt>
                <c:pt idx="26">
                  <c:v>15024.359203966753</c:v>
                </c:pt>
                <c:pt idx="27">
                  <c:v>15324.846388046088</c:v>
                </c:pt>
                <c:pt idx="28">
                  <c:v>15251.680966137967</c:v>
                </c:pt>
                <c:pt idx="29">
                  <c:v>15172.855967716398</c:v>
                </c:pt>
              </c:numCache>
            </c:numRef>
          </c:val>
          <c:smooth val="0"/>
          <c:extLst>
            <c:ext xmlns:c16="http://schemas.microsoft.com/office/drawing/2014/chart" uri="{C3380CC4-5D6E-409C-BE32-E72D297353CC}">
              <c16:uniqueId val="{00000004-8927-9447-8508-435AF9BEE869}"/>
            </c:ext>
          </c:extLst>
        </c:ser>
        <c:ser>
          <c:idx val="5"/>
          <c:order val="5"/>
          <c:tx>
            <c:strRef>
              <c:f>'DETAILED MODELLER - PERSON 1'!$I$97</c:f>
              <c:strCache>
                <c:ptCount val="1"/>
                <c:pt idx="0">
                  <c:v>ETHICAL 4 - BUY POWER</c:v>
                </c:pt>
              </c:strCache>
            </c:strRef>
          </c:tx>
          <c:spPr>
            <a:ln w="34925" cap="rnd">
              <a:solidFill>
                <a:schemeClr val="accent6"/>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1'!$I$98:$I$127</c:f>
              <c:numCache>
                <c:formatCode>"£"#,##0</c:formatCode>
                <c:ptCount val="30"/>
                <c:pt idx="1">
                  <c:v>14203.166759002766</c:v>
                </c:pt>
                <c:pt idx="2">
                  <c:v>13877.393221705785</c:v>
                </c:pt>
                <c:pt idx="3">
                  <c:v>13521.673806388721</c:v>
                </c:pt>
                <c:pt idx="4">
                  <c:v>13792.107282516492</c:v>
                </c:pt>
                <c:pt idx="5">
                  <c:v>14067.949428166819</c:v>
                </c:pt>
                <c:pt idx="6">
                  <c:v>14349.308416730157</c:v>
                </c:pt>
                <c:pt idx="7">
                  <c:v>14636.294585064759</c:v>
                </c:pt>
                <c:pt idx="8">
                  <c:v>14929.020476766051</c:v>
                </c:pt>
                <c:pt idx="9">
                  <c:v>15077.567884793909</c:v>
                </c:pt>
                <c:pt idx="10">
                  <c:v>15226.756781222073</c:v>
                </c:pt>
                <c:pt idx="11">
                  <c:v>15376.563827890699</c:v>
                </c:pt>
                <c:pt idx="12">
                  <c:v>15526.964658322064</c:v>
                </c:pt>
                <c:pt idx="13">
                  <c:v>15677.933848435361</c:v>
                </c:pt>
                <c:pt idx="14">
                  <c:v>15829.444886540361</c:v>
                </c:pt>
                <c:pt idx="15">
                  <c:v>15816.906500915884</c:v>
                </c:pt>
                <c:pt idx="16">
                  <c:v>15800.47962497341</c:v>
                </c:pt>
                <c:pt idx="17">
                  <c:v>15780.046282498832</c:v>
                </c:pt>
                <c:pt idx="18">
                  <c:v>15755.485693367154</c:v>
                </c:pt>
                <c:pt idx="19">
                  <c:v>15726.674212552625</c:v>
                </c:pt>
                <c:pt idx="20">
                  <c:v>15693.485267864795</c:v>
                </c:pt>
                <c:pt idx="21">
                  <c:v>15655.789296384413</c:v>
                </c:pt>
                <c:pt idx="22">
                  <c:v>15613.453679572533</c:v>
                </c:pt>
                <c:pt idx="23">
                  <c:v>15566.342677025714</c:v>
                </c:pt>
                <c:pt idx="24">
                  <c:v>15514.317358849592</c:v>
                </c:pt>
                <c:pt idx="25">
                  <c:v>15457.235536622546</c:v>
                </c:pt>
                <c:pt idx="26">
                  <c:v>15394.951692920706</c:v>
                </c:pt>
                <c:pt idx="27">
                  <c:v>15327.316909374767</c:v>
                </c:pt>
                <c:pt idx="28">
                  <c:v>15254.178793228704</c:v>
                </c:pt>
                <c:pt idx="29">
                  <c:v>14983.440919007935</c:v>
                </c:pt>
              </c:numCache>
            </c:numRef>
          </c:val>
          <c:smooth val="0"/>
          <c:extLst>
            <c:ext xmlns:c16="http://schemas.microsoft.com/office/drawing/2014/chart" uri="{C3380CC4-5D6E-409C-BE32-E72D297353CC}">
              <c16:uniqueId val="{00000005-8927-9447-8508-435AF9BEE869}"/>
            </c:ext>
          </c:extLst>
        </c:ser>
        <c:ser>
          <c:idx val="12"/>
          <c:order val="6"/>
          <c:tx>
            <c:strRef>
              <c:f>'DETAILED MODELLER - PERSON 1'!$J$97</c:f>
              <c:strCache>
                <c:ptCount val="1"/>
                <c:pt idx="0">
                  <c:v>RPI BASED PENSION VALUE(£)</c:v>
                </c:pt>
              </c:strCache>
            </c:strRef>
          </c:tx>
          <c:spPr>
            <a:ln w="34925" cap="rnd">
              <a:solidFill>
                <a:srgbClr val="92D050"/>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1'!$J$98:$J$127</c:f>
              <c:numCache>
                <c:formatCode>"£"#,##0</c:formatCode>
                <c:ptCount val="30"/>
                <c:pt idx="0">
                  <c:v>15390</c:v>
                </c:pt>
                <c:pt idx="1">
                  <c:v>16005.6</c:v>
                </c:pt>
                <c:pt idx="2">
                  <c:v>16412.142240000001</c:v>
                </c:pt>
                <c:pt idx="3">
                  <c:v>16853.628866256</c:v>
                </c:pt>
                <c:pt idx="4">
                  <c:v>17190.701443581122</c:v>
                </c:pt>
                <c:pt idx="5">
                  <c:v>17534.515472452746</c:v>
                </c:pt>
                <c:pt idx="6">
                  <c:v>17885.205781901801</c:v>
                </c:pt>
                <c:pt idx="7">
                  <c:v>18242.909897539837</c:v>
                </c:pt>
                <c:pt idx="8">
                  <c:v>18607.768095490635</c:v>
                </c:pt>
                <c:pt idx="9">
                  <c:v>18979.923457400448</c:v>
                </c:pt>
                <c:pt idx="10">
                  <c:v>19359.521926548456</c:v>
                </c:pt>
                <c:pt idx="11">
                  <c:v>19746.712365079424</c:v>
                </c:pt>
                <c:pt idx="12">
                  <c:v>20141.646612381013</c:v>
                </c:pt>
                <c:pt idx="13">
                  <c:v>20544.479544628633</c:v>
                </c:pt>
                <c:pt idx="14">
                  <c:v>20955.369135521207</c:v>
                </c:pt>
                <c:pt idx="15">
                  <c:v>21374.47651823163</c:v>
                </c:pt>
                <c:pt idx="16">
                  <c:v>21801.966048596263</c:v>
                </c:pt>
                <c:pt idx="17">
                  <c:v>22238.005369568189</c:v>
                </c:pt>
                <c:pt idx="18">
                  <c:v>22682.765476959554</c:v>
                </c:pt>
                <c:pt idx="19">
                  <c:v>23136.420786498744</c:v>
                </c:pt>
                <c:pt idx="20">
                  <c:v>23599.14920222872</c:v>
                </c:pt>
                <c:pt idx="21">
                  <c:v>24071.132186273295</c:v>
                </c:pt>
                <c:pt idx="22">
                  <c:v>24552.55482999876</c:v>
                </c:pt>
                <c:pt idx="23">
                  <c:v>25043.605926598735</c:v>
                </c:pt>
                <c:pt idx="24">
                  <c:v>25544.478045130709</c:v>
                </c:pt>
                <c:pt idx="25">
                  <c:v>26055.367606033324</c:v>
                </c:pt>
                <c:pt idx="26">
                  <c:v>26576.474958153991</c:v>
                </c:pt>
                <c:pt idx="27">
                  <c:v>27108.004457317071</c:v>
                </c:pt>
                <c:pt idx="28">
                  <c:v>27650.164546463413</c:v>
                </c:pt>
                <c:pt idx="29">
                  <c:v>28203.167837392681</c:v>
                </c:pt>
              </c:numCache>
            </c:numRef>
          </c:val>
          <c:smooth val="0"/>
          <c:extLst>
            <c:ext xmlns:c16="http://schemas.microsoft.com/office/drawing/2014/chart" uri="{C3380CC4-5D6E-409C-BE32-E72D297353CC}">
              <c16:uniqueId val="{00000006-8927-9447-8508-435AF9BEE869}"/>
            </c:ext>
          </c:extLst>
        </c:ser>
        <c:ser>
          <c:idx val="13"/>
          <c:order val="7"/>
          <c:tx>
            <c:strRef>
              <c:f>'DETAILED MODELLER - PERSON 1'!$K$97</c:f>
              <c:strCache>
                <c:ptCount val="1"/>
                <c:pt idx="0">
                  <c:v>CURRENT PENSION VALUE(£)</c:v>
                </c:pt>
              </c:strCache>
            </c:strRef>
          </c:tx>
          <c:spPr>
            <a:ln w="34925" cap="rnd">
              <a:solidFill>
                <a:schemeClr val="bg1">
                  <a:lumMod val="95000"/>
                </a:schemeClr>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1'!$K$98:$K$127</c:f>
              <c:numCache>
                <c:formatCode>"£"#,##0</c:formatCode>
                <c:ptCount val="30"/>
                <c:pt idx="0">
                  <c:v>15041.052631578947</c:v>
                </c:pt>
                <c:pt idx="1">
                  <c:v>15104.383379501383</c:v>
                </c:pt>
                <c:pt idx="2">
                  <c:v>15144.767730852893</c:v>
                </c:pt>
                <c:pt idx="3">
                  <c:v>15187.65133632236</c:v>
                </c:pt>
                <c:pt idx="4">
                  <c:v>15219.625339135671</c:v>
                </c:pt>
                <c:pt idx="5">
                  <c:v>15251.666655639116</c:v>
                </c:pt>
                <c:pt idx="6">
                  <c:v>15283.775427545725</c:v>
                </c:pt>
                <c:pt idx="7">
                  <c:v>15315.951796866873</c:v>
                </c:pt>
                <c:pt idx="8">
                  <c:v>15348.195905912909</c:v>
                </c:pt>
                <c:pt idx="9">
                  <c:v>15380.507897293779</c:v>
                </c:pt>
                <c:pt idx="10">
                  <c:v>15412.887913919662</c:v>
                </c:pt>
                <c:pt idx="11">
                  <c:v>15445.336099001597</c:v>
                </c:pt>
                <c:pt idx="12">
                  <c:v>15477.852596052127</c:v>
                </c:pt>
                <c:pt idx="13">
                  <c:v>15510.43754888592</c:v>
                </c:pt>
                <c:pt idx="14">
                  <c:v>15543.091101620417</c:v>
                </c:pt>
                <c:pt idx="15">
                  <c:v>15575.813398676461</c:v>
                </c:pt>
                <c:pt idx="16">
                  <c:v>15608.604584778937</c:v>
                </c:pt>
                <c:pt idx="17">
                  <c:v>15641.464804957419</c:v>
                </c:pt>
                <c:pt idx="18">
                  <c:v>15674.394204546803</c:v>
                </c:pt>
                <c:pt idx="19">
                  <c:v>15707.392929187954</c:v>
                </c:pt>
                <c:pt idx="20">
                  <c:v>15740.461124828349</c:v>
                </c:pt>
                <c:pt idx="21">
                  <c:v>15773.598937722725</c:v>
                </c:pt>
                <c:pt idx="22">
                  <c:v>15806.80651443372</c:v>
                </c:pt>
                <c:pt idx="23">
                  <c:v>15840.084001832527</c:v>
                </c:pt>
                <c:pt idx="24">
                  <c:v>15873.431547099543</c:v>
                </c:pt>
                <c:pt idx="25">
                  <c:v>15906.849297725015</c:v>
                </c:pt>
                <c:pt idx="26">
                  <c:v>15940.3374015097</c:v>
                </c:pt>
                <c:pt idx="27">
                  <c:v>15973.89600656551</c:v>
                </c:pt>
                <c:pt idx="28">
                  <c:v>16007.525261316174</c:v>
                </c:pt>
                <c:pt idx="29">
                  <c:v>16041.225314497891</c:v>
                </c:pt>
              </c:numCache>
            </c:numRef>
          </c:val>
          <c:smooth val="0"/>
          <c:extLst>
            <c:ext xmlns:c16="http://schemas.microsoft.com/office/drawing/2014/chart" uri="{C3380CC4-5D6E-409C-BE32-E72D297353CC}">
              <c16:uniqueId val="{00000007-8927-9447-8508-435AF9BEE869}"/>
            </c:ext>
          </c:extLst>
        </c:ser>
        <c:dLbls>
          <c:showLegendKey val="0"/>
          <c:showVal val="0"/>
          <c:showCatName val="0"/>
          <c:showSerName val="0"/>
          <c:showPercent val="0"/>
          <c:showBubbleSize val="0"/>
        </c:dLbls>
        <c:smooth val="0"/>
        <c:axId val="273423983"/>
        <c:axId val="225143615"/>
      </c:lineChart>
      <c:catAx>
        <c:axId val="273423983"/>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25143615"/>
        <c:crosses val="autoZero"/>
        <c:auto val="1"/>
        <c:lblAlgn val="ctr"/>
        <c:lblOffset val="100"/>
        <c:noMultiLvlLbl val="0"/>
      </c:catAx>
      <c:valAx>
        <c:axId val="225143615"/>
        <c:scaling>
          <c:orientation val="minMax"/>
        </c:scaling>
        <c:delete val="0"/>
        <c:axPos val="l"/>
        <c:majorGridlines>
          <c:spPr>
            <a:ln w="9525" cap="flat" cmpd="sng" algn="ctr">
              <a:solidFill>
                <a:schemeClr val="lt1">
                  <a:lumMod val="95000"/>
                  <a:alpha val="10000"/>
                </a:schemeClr>
              </a:solidFill>
              <a:round/>
            </a:ln>
            <a:effectLst/>
          </c:spPr>
        </c:majorGridlines>
        <c:title>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73423983"/>
        <c:crosses val="autoZero"/>
        <c:crossBetween val="between"/>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400"/>
              <a:t>THIRTY YEAR VIEW FROM DATE OF RETIREMENT - </a:t>
            </a:r>
            <a:r>
              <a:rPr lang="en-US" sz="1400">
                <a:solidFill>
                  <a:srgbClr val="FFFF00"/>
                </a:solidFill>
              </a:rPr>
              <a:t>PERSON 1</a:t>
            </a:r>
          </a:p>
          <a:p>
            <a:pPr>
              <a:defRPr sz="1400"/>
            </a:pPr>
            <a:r>
              <a:rPr lang="en-US" sz="1400"/>
              <a:t>VALUE OF</a:t>
            </a:r>
            <a:r>
              <a:rPr lang="en-US" sz="1400" baseline="0"/>
              <a:t> </a:t>
            </a:r>
            <a:r>
              <a:rPr lang="en-US" sz="1400"/>
              <a:t>PENSION</a:t>
            </a:r>
            <a:r>
              <a:rPr lang="en-US" sz="1400" baseline="0"/>
              <a:t> WITH ZERO DISCRETIONARY INCREASES</a:t>
            </a:r>
            <a:r>
              <a:rPr lang="en-US" sz="1400"/>
              <a:t> AND ITS' DECLINING BUYING POWER CONTRASTED </a:t>
            </a:r>
          </a:p>
          <a:p>
            <a:pPr>
              <a:defRPr sz="1400"/>
            </a:pPr>
            <a:r>
              <a:rPr lang="en-US" sz="1400"/>
              <a:t>WITH A PENSION THAT RISES </a:t>
            </a:r>
            <a:r>
              <a:rPr lang="en-US" sz="1400" baseline="0"/>
              <a:t>IN VALUE BASED ON RPI</a:t>
            </a:r>
          </a:p>
          <a:p>
            <a:pPr>
              <a:defRPr sz="1400"/>
            </a:pPr>
            <a:endParaRPr lang="en-US" sz="1400"/>
          </a:p>
        </c:rich>
      </c:tx>
      <c:layout>
        <c:manualLayout>
          <c:xMode val="edge"/>
          <c:yMode val="edge"/>
          <c:x val="0.1137021651360878"/>
          <c:y val="1.2243825750450138E-2"/>
        </c:manualLayout>
      </c:layout>
      <c:overlay val="0"/>
      <c:spPr>
        <a:noFill/>
        <a:ln>
          <a:solidFill>
            <a:schemeClr val="bg1"/>
          </a:solidFill>
        </a:ln>
        <a:effectLst/>
      </c:spPr>
      <c:txPr>
        <a:bodyPr rot="0" spcFirstLastPara="1" vertOverflow="ellipsis" vert="horz" wrap="square" anchor="ctr" anchorCtr="1"/>
        <a:lstStyle/>
        <a:p>
          <a:pPr>
            <a:defRPr sz="14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9.9459235018240402E-2"/>
          <c:y val="2.1158645550292489E-2"/>
          <c:w val="0.85730831148801334"/>
          <c:h val="0.82071429337634483"/>
        </c:manualLayout>
      </c:layout>
      <c:lineChart>
        <c:grouping val="standard"/>
        <c:varyColors val="0"/>
        <c:ser>
          <c:idx val="0"/>
          <c:order val="0"/>
          <c:tx>
            <c:strRef>
              <c:f>'DETAILED MODELLER - PERSON 1'!$D$97</c:f>
              <c:strCache>
                <c:ptCount val="1"/>
                <c:pt idx="0">
                  <c:v>PENSION BUYING POWER</c:v>
                </c:pt>
              </c:strCache>
            </c:strRef>
          </c:tx>
          <c:spPr>
            <a:ln w="41275" cap="rnd">
              <a:solidFill>
                <a:srgbClr val="FF0000"/>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1'!$D$98:$D$127</c:f>
              <c:numCache>
                <c:formatCode>"£"#,##0</c:formatCode>
                <c:ptCount val="30"/>
                <c:pt idx="0">
                  <c:v>14692.105263157893</c:v>
                </c:pt>
                <c:pt idx="1">
                  <c:v>14203.166759002766</c:v>
                </c:pt>
                <c:pt idx="2">
                  <c:v>13877.393221705785</c:v>
                </c:pt>
                <c:pt idx="3">
                  <c:v>13521.673806388721</c:v>
                </c:pt>
                <c:pt idx="4">
                  <c:v>13248.549234690221</c:v>
                </c:pt>
                <c:pt idx="5">
                  <c:v>12968.817838825486</c:v>
                </c:pt>
                <c:pt idx="6">
                  <c:v>12682.345073189648</c:v>
                </c:pt>
                <c:pt idx="7">
                  <c:v>12388.993696193909</c:v>
                </c:pt>
                <c:pt idx="8">
                  <c:v>12088.623716335183</c:v>
                </c:pt>
                <c:pt idx="9">
                  <c:v>11781.09233718711</c:v>
                </c:pt>
                <c:pt idx="10">
                  <c:v>11466.253901290867</c:v>
                </c:pt>
                <c:pt idx="11">
                  <c:v>11143.959832923771</c:v>
                </c:pt>
                <c:pt idx="12">
                  <c:v>10814.058579723242</c:v>
                </c:pt>
                <c:pt idx="13">
                  <c:v>10476.395553143208</c:v>
                </c:pt>
                <c:pt idx="14">
                  <c:v>10130.813067719628</c:v>
                </c:pt>
                <c:pt idx="15">
                  <c:v>9777.1502791212915</c:v>
                </c:pt>
                <c:pt idx="16">
                  <c:v>9415.2431209616116</c:v>
                </c:pt>
                <c:pt idx="17">
                  <c:v>9044.9242403466487</c:v>
                </c:pt>
                <c:pt idx="18">
                  <c:v>8666.0229321340521</c:v>
                </c:pt>
                <c:pt idx="19">
                  <c:v>8278.3650718771642</c:v>
                </c:pt>
                <c:pt idx="20">
                  <c:v>7881.7730474279779</c:v>
                </c:pt>
                <c:pt idx="21">
                  <c:v>7476.0656891721555</c:v>
                </c:pt>
                <c:pt idx="22">
                  <c:v>7061.058198868679</c:v>
                </c:pt>
                <c:pt idx="23">
                  <c:v>6636.562077066319</c:v>
                </c:pt>
                <c:pt idx="24">
                  <c:v>6202.3850490683762</c:v>
                </c:pt>
                <c:pt idx="25">
                  <c:v>5758.3309894167069</c:v>
                </c:pt>
                <c:pt idx="26">
                  <c:v>5304.1998448654085</c:v>
                </c:pt>
                <c:pt idx="27">
                  <c:v>4839.7875558139494</c:v>
                </c:pt>
                <c:pt idx="28">
                  <c:v>4364.8859761689346</c:v>
                </c:pt>
                <c:pt idx="29">
                  <c:v>3879.2827916031019</c:v>
                </c:pt>
              </c:numCache>
            </c:numRef>
          </c:val>
          <c:smooth val="0"/>
          <c:extLst>
            <c:ext xmlns:c16="http://schemas.microsoft.com/office/drawing/2014/chart" uri="{C3380CC4-5D6E-409C-BE32-E72D297353CC}">
              <c16:uniqueId val="{00000000-A235-ED4F-8F65-BA957CE330C4}"/>
            </c:ext>
          </c:extLst>
        </c:ser>
        <c:ser>
          <c:idx val="6"/>
          <c:order val="1"/>
          <c:tx>
            <c:strRef>
              <c:f>'DETAILED MODELLER - PERSON 1'!$J$97</c:f>
              <c:strCache>
                <c:ptCount val="1"/>
                <c:pt idx="0">
                  <c:v>RPI BASED PENSION VALUE(£)</c:v>
                </c:pt>
              </c:strCache>
            </c:strRef>
          </c:tx>
          <c:spPr>
            <a:ln w="41275" cap="rnd">
              <a:solidFill>
                <a:srgbClr val="00B050"/>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1'!$J$98:$J$127</c:f>
              <c:numCache>
                <c:formatCode>"£"#,##0</c:formatCode>
                <c:ptCount val="30"/>
                <c:pt idx="0">
                  <c:v>15390</c:v>
                </c:pt>
                <c:pt idx="1">
                  <c:v>16005.6</c:v>
                </c:pt>
                <c:pt idx="2">
                  <c:v>16412.142240000001</c:v>
                </c:pt>
                <c:pt idx="3">
                  <c:v>16853.628866256</c:v>
                </c:pt>
                <c:pt idx="4">
                  <c:v>17190.701443581122</c:v>
                </c:pt>
                <c:pt idx="5">
                  <c:v>17534.515472452746</c:v>
                </c:pt>
                <c:pt idx="6">
                  <c:v>17885.205781901801</c:v>
                </c:pt>
                <c:pt idx="7">
                  <c:v>18242.909897539837</c:v>
                </c:pt>
                <c:pt idx="8">
                  <c:v>18607.768095490635</c:v>
                </c:pt>
                <c:pt idx="9">
                  <c:v>18979.923457400448</c:v>
                </c:pt>
                <c:pt idx="10">
                  <c:v>19359.521926548456</c:v>
                </c:pt>
                <c:pt idx="11">
                  <c:v>19746.712365079424</c:v>
                </c:pt>
                <c:pt idx="12">
                  <c:v>20141.646612381013</c:v>
                </c:pt>
                <c:pt idx="13">
                  <c:v>20544.479544628633</c:v>
                </c:pt>
                <c:pt idx="14">
                  <c:v>20955.369135521207</c:v>
                </c:pt>
                <c:pt idx="15">
                  <c:v>21374.47651823163</c:v>
                </c:pt>
                <c:pt idx="16">
                  <c:v>21801.966048596263</c:v>
                </c:pt>
                <c:pt idx="17">
                  <c:v>22238.005369568189</c:v>
                </c:pt>
                <c:pt idx="18">
                  <c:v>22682.765476959554</c:v>
                </c:pt>
                <c:pt idx="19">
                  <c:v>23136.420786498744</c:v>
                </c:pt>
                <c:pt idx="20">
                  <c:v>23599.14920222872</c:v>
                </c:pt>
                <c:pt idx="21">
                  <c:v>24071.132186273295</c:v>
                </c:pt>
                <c:pt idx="22">
                  <c:v>24552.55482999876</c:v>
                </c:pt>
                <c:pt idx="23">
                  <c:v>25043.605926598735</c:v>
                </c:pt>
                <c:pt idx="24">
                  <c:v>25544.478045130709</c:v>
                </c:pt>
                <c:pt idx="25">
                  <c:v>26055.367606033324</c:v>
                </c:pt>
                <c:pt idx="26">
                  <c:v>26576.474958153991</c:v>
                </c:pt>
                <c:pt idx="27">
                  <c:v>27108.004457317071</c:v>
                </c:pt>
                <c:pt idx="28">
                  <c:v>27650.164546463413</c:v>
                </c:pt>
                <c:pt idx="29">
                  <c:v>28203.167837392681</c:v>
                </c:pt>
              </c:numCache>
            </c:numRef>
          </c:val>
          <c:smooth val="0"/>
          <c:extLst>
            <c:ext xmlns:c16="http://schemas.microsoft.com/office/drawing/2014/chart" uri="{C3380CC4-5D6E-409C-BE32-E72D297353CC}">
              <c16:uniqueId val="{00000001-A235-ED4F-8F65-BA957CE330C4}"/>
            </c:ext>
          </c:extLst>
        </c:ser>
        <c:ser>
          <c:idx val="7"/>
          <c:order val="2"/>
          <c:tx>
            <c:strRef>
              <c:f>'DETAILED MODELLER - PERSON 1'!$K$97</c:f>
              <c:strCache>
                <c:ptCount val="1"/>
                <c:pt idx="0">
                  <c:v>CURRENT PENSION VALUE(£)</c:v>
                </c:pt>
              </c:strCache>
            </c:strRef>
          </c:tx>
          <c:spPr>
            <a:ln w="41275" cap="rnd">
              <a:solidFill>
                <a:schemeClr val="bg1"/>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1'!$K$98:$K$127</c:f>
              <c:numCache>
                <c:formatCode>"£"#,##0</c:formatCode>
                <c:ptCount val="30"/>
                <c:pt idx="0">
                  <c:v>15041.052631578947</c:v>
                </c:pt>
                <c:pt idx="1">
                  <c:v>15104.383379501383</c:v>
                </c:pt>
                <c:pt idx="2">
                  <c:v>15144.767730852893</c:v>
                </c:pt>
                <c:pt idx="3">
                  <c:v>15187.65133632236</c:v>
                </c:pt>
                <c:pt idx="4">
                  <c:v>15219.625339135671</c:v>
                </c:pt>
                <c:pt idx="5">
                  <c:v>15251.666655639116</c:v>
                </c:pt>
                <c:pt idx="6">
                  <c:v>15283.775427545725</c:v>
                </c:pt>
                <c:pt idx="7">
                  <c:v>15315.951796866873</c:v>
                </c:pt>
                <c:pt idx="8">
                  <c:v>15348.195905912909</c:v>
                </c:pt>
                <c:pt idx="9">
                  <c:v>15380.507897293779</c:v>
                </c:pt>
                <c:pt idx="10">
                  <c:v>15412.887913919662</c:v>
                </c:pt>
                <c:pt idx="11">
                  <c:v>15445.336099001597</c:v>
                </c:pt>
                <c:pt idx="12">
                  <c:v>15477.852596052127</c:v>
                </c:pt>
                <c:pt idx="13">
                  <c:v>15510.43754888592</c:v>
                </c:pt>
                <c:pt idx="14">
                  <c:v>15543.091101620417</c:v>
                </c:pt>
                <c:pt idx="15">
                  <c:v>15575.813398676461</c:v>
                </c:pt>
                <c:pt idx="16">
                  <c:v>15608.604584778937</c:v>
                </c:pt>
                <c:pt idx="17">
                  <c:v>15641.464804957419</c:v>
                </c:pt>
                <c:pt idx="18">
                  <c:v>15674.394204546803</c:v>
                </c:pt>
                <c:pt idx="19">
                  <c:v>15707.392929187954</c:v>
                </c:pt>
                <c:pt idx="20">
                  <c:v>15740.461124828349</c:v>
                </c:pt>
                <c:pt idx="21">
                  <c:v>15773.598937722725</c:v>
                </c:pt>
                <c:pt idx="22">
                  <c:v>15806.80651443372</c:v>
                </c:pt>
                <c:pt idx="23">
                  <c:v>15840.084001832527</c:v>
                </c:pt>
                <c:pt idx="24">
                  <c:v>15873.431547099543</c:v>
                </c:pt>
                <c:pt idx="25">
                  <c:v>15906.849297725015</c:v>
                </c:pt>
                <c:pt idx="26">
                  <c:v>15940.3374015097</c:v>
                </c:pt>
                <c:pt idx="27">
                  <c:v>15973.89600656551</c:v>
                </c:pt>
                <c:pt idx="28">
                  <c:v>16007.525261316174</c:v>
                </c:pt>
                <c:pt idx="29">
                  <c:v>16041.225314497891</c:v>
                </c:pt>
              </c:numCache>
            </c:numRef>
          </c:val>
          <c:smooth val="0"/>
          <c:extLst>
            <c:ext xmlns:c16="http://schemas.microsoft.com/office/drawing/2014/chart" uri="{C3380CC4-5D6E-409C-BE32-E72D297353CC}">
              <c16:uniqueId val="{00000002-A235-ED4F-8F65-BA957CE330C4}"/>
            </c:ext>
          </c:extLst>
        </c:ser>
        <c:dLbls>
          <c:showLegendKey val="0"/>
          <c:showVal val="0"/>
          <c:showCatName val="0"/>
          <c:showSerName val="0"/>
          <c:showPercent val="0"/>
          <c:showBubbleSize val="0"/>
        </c:dLbls>
        <c:smooth val="0"/>
        <c:axId val="273423983"/>
        <c:axId val="225143615"/>
      </c:lineChart>
      <c:catAx>
        <c:axId val="273423983"/>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25143615"/>
        <c:crosses val="autoZero"/>
        <c:auto val="1"/>
        <c:lblAlgn val="ctr"/>
        <c:lblOffset val="100"/>
        <c:noMultiLvlLbl val="0"/>
      </c:catAx>
      <c:valAx>
        <c:axId val="225143615"/>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US"/>
                  <a:t>Axis Title</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73423983"/>
        <c:crosses val="autoZero"/>
        <c:crossBetween val="between"/>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baseline="0"/>
              <a:t>THIRTY YEAR VIEW FROM DATE OF RETIREMENT - </a:t>
            </a:r>
            <a:r>
              <a:rPr lang="en-US" baseline="0">
                <a:solidFill>
                  <a:srgbClr val="FFFF00"/>
                </a:solidFill>
              </a:rPr>
              <a:t>PERSON 1</a:t>
            </a:r>
          </a:p>
          <a:p>
            <a:pPr>
              <a:defRPr/>
            </a:pPr>
            <a:r>
              <a:rPr lang="en-US" baseline="0"/>
              <a:t>CUMULATIVE INCOME SHORTFALL OF PENSION AGAINST A PENSION THAT RISES WITH INFLATION</a:t>
            </a:r>
          </a:p>
          <a:p>
            <a:pPr>
              <a:defRPr/>
            </a:pPr>
            <a:endParaRPr lang="en-US" baseline="0"/>
          </a:p>
          <a:p>
            <a:pPr>
              <a:defRPr/>
            </a:pPr>
            <a:r>
              <a:rPr lang="en-US" sz="2400" baseline="0"/>
              <a:t>(£000s) </a:t>
            </a:r>
          </a:p>
        </c:rich>
      </c:tx>
      <c:layout>
        <c:manualLayout>
          <c:xMode val="edge"/>
          <c:yMode val="edge"/>
          <c:x val="0.2281813042600444"/>
          <c:y val="5.6497168857915295E-3"/>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'DETAILED MODELLER - PERSON 1'!$D$63</c:f>
              <c:strCache>
                <c:ptCount val="1"/>
                <c:pt idx="0">
                  <c:v>RPI PENSION (000S)</c:v>
                </c:pt>
              </c:strCache>
            </c:strRef>
          </c:tx>
          <c:spPr>
            <a:ln w="34925" cap="rnd">
              <a:solidFill>
                <a:srgbClr val="00B050"/>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1'!$D$64:$D$93</c:f>
              <c:numCache>
                <c:formatCode>_(* #,##0.0_);_(* \(#,##0.0\);_(* "-"??_);_(@_)</c:formatCode>
                <c:ptCount val="30"/>
                <c:pt idx="0">
                  <c:v>15.39</c:v>
                </c:pt>
                <c:pt idx="1">
                  <c:v>16.005600000000001</c:v>
                </c:pt>
                <c:pt idx="2">
                  <c:v>16.412142240000001</c:v>
                </c:pt>
                <c:pt idx="3">
                  <c:v>16.853628866255999</c:v>
                </c:pt>
                <c:pt idx="4">
                  <c:v>17.190701443581123</c:v>
                </c:pt>
                <c:pt idx="5">
                  <c:v>17.534515472452746</c:v>
                </c:pt>
                <c:pt idx="6">
                  <c:v>17.885205781901799</c:v>
                </c:pt>
                <c:pt idx="7">
                  <c:v>18.242909897539839</c:v>
                </c:pt>
                <c:pt idx="8">
                  <c:v>18.607768095490634</c:v>
                </c:pt>
                <c:pt idx="9">
                  <c:v>18.979923457400449</c:v>
                </c:pt>
                <c:pt idx="10">
                  <c:v>19.359521926548457</c:v>
                </c:pt>
                <c:pt idx="11">
                  <c:v>19.746712365079425</c:v>
                </c:pt>
                <c:pt idx="12">
                  <c:v>20.141646612381013</c:v>
                </c:pt>
                <c:pt idx="13">
                  <c:v>20.544479544628633</c:v>
                </c:pt>
                <c:pt idx="14">
                  <c:v>20.955369135521206</c:v>
                </c:pt>
                <c:pt idx="15">
                  <c:v>21.374476518231628</c:v>
                </c:pt>
                <c:pt idx="16">
                  <c:v>21.801966048596263</c:v>
                </c:pt>
                <c:pt idx="17">
                  <c:v>22.238005369568189</c:v>
                </c:pt>
                <c:pt idx="18">
                  <c:v>22.682765476959553</c:v>
                </c:pt>
                <c:pt idx="19">
                  <c:v>23.136420786498743</c:v>
                </c:pt>
                <c:pt idx="20">
                  <c:v>23.59914920222872</c:v>
                </c:pt>
                <c:pt idx="21">
                  <c:v>24.071132186273296</c:v>
                </c:pt>
                <c:pt idx="22">
                  <c:v>24.552554829998762</c:v>
                </c:pt>
                <c:pt idx="23">
                  <c:v>25.043605926598737</c:v>
                </c:pt>
                <c:pt idx="24">
                  <c:v>25.54447804513071</c:v>
                </c:pt>
                <c:pt idx="25">
                  <c:v>26.055367606033325</c:v>
                </c:pt>
                <c:pt idx="26">
                  <c:v>26.576474958153991</c:v>
                </c:pt>
                <c:pt idx="27">
                  <c:v>27.108004457317072</c:v>
                </c:pt>
                <c:pt idx="28">
                  <c:v>27.650164546463412</c:v>
                </c:pt>
                <c:pt idx="29">
                  <c:v>28.20316783739268</c:v>
                </c:pt>
              </c:numCache>
            </c:numRef>
          </c:val>
          <c:smooth val="0"/>
          <c:extLst>
            <c:ext xmlns:c16="http://schemas.microsoft.com/office/drawing/2014/chart" uri="{C3380CC4-5D6E-409C-BE32-E72D297353CC}">
              <c16:uniqueId val="{00000000-FA3F-8D44-96E4-FD523720C7A0}"/>
            </c:ext>
          </c:extLst>
        </c:ser>
        <c:ser>
          <c:idx val="1"/>
          <c:order val="1"/>
          <c:tx>
            <c:strRef>
              <c:f>'DETAILED MODELLER - PERSON 1'!$E$63</c:f>
              <c:strCache>
                <c:ptCount val="1"/>
                <c:pt idx="0">
                  <c:v>CURRENT PENSION </c:v>
                </c:pt>
              </c:strCache>
            </c:strRef>
          </c:tx>
          <c:spPr>
            <a:ln w="34925" cap="rnd">
              <a:solidFill>
                <a:schemeClr val="bg1"/>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1'!$E$64:$E$93</c:f>
              <c:numCache>
                <c:formatCode>_(* #,##0.0_);_(* \(#,##0.0\);_(* "-"??_);_(@_)</c:formatCode>
                <c:ptCount val="30"/>
                <c:pt idx="0">
                  <c:v>15.041052631578946</c:v>
                </c:pt>
                <c:pt idx="1">
                  <c:v>15.104383379501384</c:v>
                </c:pt>
                <c:pt idx="2">
                  <c:v>15.144767730852893</c:v>
                </c:pt>
                <c:pt idx="3">
                  <c:v>15.187651336322361</c:v>
                </c:pt>
                <c:pt idx="4">
                  <c:v>15.219625339135671</c:v>
                </c:pt>
                <c:pt idx="5">
                  <c:v>15.251666655639115</c:v>
                </c:pt>
                <c:pt idx="6">
                  <c:v>15.283775427545725</c:v>
                </c:pt>
                <c:pt idx="7">
                  <c:v>15.315951796866873</c:v>
                </c:pt>
                <c:pt idx="8">
                  <c:v>15.34819590591291</c:v>
                </c:pt>
                <c:pt idx="9">
                  <c:v>15.380507897293779</c:v>
                </c:pt>
                <c:pt idx="10">
                  <c:v>15.412887913919661</c:v>
                </c:pt>
                <c:pt idx="11">
                  <c:v>15.445336099001597</c:v>
                </c:pt>
                <c:pt idx="12">
                  <c:v>15.477852596052127</c:v>
                </c:pt>
                <c:pt idx="13">
                  <c:v>15.510437548885921</c:v>
                </c:pt>
                <c:pt idx="14">
                  <c:v>15.543091101620417</c:v>
                </c:pt>
                <c:pt idx="15">
                  <c:v>15.575813398676461</c:v>
                </c:pt>
                <c:pt idx="16">
                  <c:v>15.608604584778938</c:v>
                </c:pt>
                <c:pt idx="17">
                  <c:v>15.641464804957419</c:v>
                </c:pt>
                <c:pt idx="18">
                  <c:v>15.674394204546802</c:v>
                </c:pt>
                <c:pt idx="19">
                  <c:v>15.707392929187954</c:v>
                </c:pt>
                <c:pt idx="20">
                  <c:v>15.740461124828348</c:v>
                </c:pt>
                <c:pt idx="21">
                  <c:v>15.773598937722726</c:v>
                </c:pt>
                <c:pt idx="22">
                  <c:v>15.80680651443372</c:v>
                </c:pt>
                <c:pt idx="23">
                  <c:v>15.840084001832526</c:v>
                </c:pt>
                <c:pt idx="24">
                  <c:v>15.873431547099543</c:v>
                </c:pt>
                <c:pt idx="25">
                  <c:v>15.906849297725016</c:v>
                </c:pt>
                <c:pt idx="26">
                  <c:v>15.9403374015097</c:v>
                </c:pt>
                <c:pt idx="27">
                  <c:v>15.973896006565511</c:v>
                </c:pt>
                <c:pt idx="28">
                  <c:v>16.007525261316175</c:v>
                </c:pt>
                <c:pt idx="29">
                  <c:v>16.04122531449789</c:v>
                </c:pt>
              </c:numCache>
            </c:numRef>
          </c:val>
          <c:smooth val="0"/>
          <c:extLst>
            <c:ext xmlns:c16="http://schemas.microsoft.com/office/drawing/2014/chart" uri="{C3380CC4-5D6E-409C-BE32-E72D297353CC}">
              <c16:uniqueId val="{00000001-FA3F-8D44-96E4-FD523720C7A0}"/>
            </c:ext>
          </c:extLst>
        </c:ser>
        <c:ser>
          <c:idx val="2"/>
          <c:order val="2"/>
          <c:tx>
            <c:strRef>
              <c:f>'DETAILED MODELLER - PERSON 1'!$F$63</c:f>
              <c:strCache>
                <c:ptCount val="1"/>
                <c:pt idx="0">
                  <c:v>TOTAL INCOME SHORTFALL </c:v>
                </c:pt>
              </c:strCache>
            </c:strRef>
          </c:tx>
          <c:spPr>
            <a:ln w="34925" cap="rnd">
              <a:solidFill>
                <a:srgbClr val="C00000"/>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1'!$F$64:$F$93</c:f>
              <c:numCache>
                <c:formatCode>#,##0.0</c:formatCode>
                <c:ptCount val="30"/>
                <c:pt idx="0">
                  <c:v>-0.34894736842105339</c:v>
                </c:pt>
                <c:pt idx="1">
                  <c:v>-1.2501639889196703</c:v>
                </c:pt>
                <c:pt idx="2">
                  <c:v>-2.5175384980667785</c:v>
                </c:pt>
                <c:pt idx="3">
                  <c:v>-4.183516028000418</c:v>
                </c:pt>
                <c:pt idx="4">
                  <c:v>-6.1545921324458686</c:v>
                </c:pt>
                <c:pt idx="5">
                  <c:v>-8.4374409492594982</c:v>
                </c:pt>
                <c:pt idx="6">
                  <c:v>-11.038871303615576</c:v>
                </c:pt>
                <c:pt idx="7">
                  <c:v>-13.96582940428854</c:v>
                </c:pt>
                <c:pt idx="8">
                  <c:v>-17.225401593866263</c:v>
                </c:pt>
                <c:pt idx="9">
                  <c:v>-20.82481715397293</c:v>
                </c:pt>
                <c:pt idx="10">
                  <c:v>-24.771451166601725</c:v>
                </c:pt>
                <c:pt idx="11">
                  <c:v>-29.072827432679549</c:v>
                </c:pt>
                <c:pt idx="12">
                  <c:v>-33.736621449008439</c:v>
                </c:pt>
                <c:pt idx="13">
                  <c:v>-38.77066344475115</c:v>
                </c:pt>
                <c:pt idx="14">
                  <c:v>-44.182941478651941</c:v>
                </c:pt>
                <c:pt idx="15">
                  <c:v>-49.981604598207106</c:v>
                </c:pt>
                <c:pt idx="16">
                  <c:v>-56.174966062024431</c:v>
                </c:pt>
                <c:pt idx="17">
                  <c:v>-62.771506626635201</c:v>
                </c:pt>
                <c:pt idx="18">
                  <c:v>-69.779877899047946</c:v>
                </c:pt>
                <c:pt idx="19">
                  <c:v>-77.208905756358746</c:v>
                </c:pt>
                <c:pt idx="20">
                  <c:v>-85.067593833759105</c:v>
                </c:pt>
                <c:pt idx="21">
                  <c:v>-93.36512708230967</c:v>
                </c:pt>
                <c:pt idx="22">
                  <c:v>-102.11087539787471</c:v>
                </c:pt>
                <c:pt idx="23">
                  <c:v>-111.31439732264091</c:v>
                </c:pt>
                <c:pt idx="24">
                  <c:v>-120.98544382067207</c:v>
                </c:pt>
                <c:pt idx="25">
                  <c:v>-131.13396212898039</c:v>
                </c:pt>
                <c:pt idx="26">
                  <c:v>-141.77009968562467</c:v>
                </c:pt>
                <c:pt idx="27">
                  <c:v>-152.90420813637621</c:v>
                </c:pt>
                <c:pt idx="28">
                  <c:v>-164.54684742152347</c:v>
                </c:pt>
                <c:pt idx="29">
                  <c:v>-176.70878994441827</c:v>
                </c:pt>
              </c:numCache>
            </c:numRef>
          </c:val>
          <c:smooth val="0"/>
          <c:extLst>
            <c:ext xmlns:c16="http://schemas.microsoft.com/office/drawing/2014/chart" uri="{C3380CC4-5D6E-409C-BE32-E72D297353CC}">
              <c16:uniqueId val="{00000002-FA3F-8D44-96E4-FD523720C7A0}"/>
            </c:ext>
          </c:extLst>
        </c:ser>
        <c:dLbls>
          <c:showLegendKey val="0"/>
          <c:showVal val="0"/>
          <c:showCatName val="0"/>
          <c:showSerName val="0"/>
          <c:showPercent val="0"/>
          <c:showBubbleSize val="0"/>
        </c:dLbls>
        <c:smooth val="0"/>
        <c:axId val="273423983"/>
        <c:axId val="225143615"/>
      </c:lineChart>
      <c:catAx>
        <c:axId val="273423983"/>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25143615"/>
        <c:crosses val="autoZero"/>
        <c:auto val="1"/>
        <c:lblAlgn val="ctr"/>
        <c:lblOffset val="100"/>
        <c:noMultiLvlLbl val="0"/>
      </c:catAx>
      <c:valAx>
        <c:axId val="225143615"/>
        <c:scaling>
          <c:orientation val="minMax"/>
        </c:scaling>
        <c:delete val="0"/>
        <c:axPos val="l"/>
        <c:majorGridlines>
          <c:spPr>
            <a:ln w="9525" cap="flat" cmpd="sng" algn="ctr">
              <a:solidFill>
                <a:schemeClr val="lt1">
                  <a:lumMod val="95000"/>
                  <a:alpha val="10000"/>
                </a:schemeClr>
              </a:solidFill>
              <a:round/>
            </a:ln>
            <a:effectLst/>
          </c:spPr>
        </c:majorGridlines>
        <c:title>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title>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73423983"/>
        <c:crosses val="autoZero"/>
        <c:crossBetween val="between"/>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baseline="0"/>
              <a:t>THIRTY YEAR VIEW FROM DATE OF RETIREMENT - </a:t>
            </a:r>
            <a:r>
              <a:rPr lang="en-US" baseline="0">
                <a:solidFill>
                  <a:srgbClr val="FFFF00"/>
                </a:solidFill>
              </a:rPr>
              <a:t>PERSON 1</a:t>
            </a:r>
          </a:p>
          <a:p>
            <a:pPr>
              <a:defRPr/>
            </a:pPr>
            <a:r>
              <a:rPr lang="en-US" baseline="0"/>
              <a:t>CUMULATIVE INCOME SHORTFALL OF PENSION AGAINST A PENSION THAT RISES WITH INFLATION</a:t>
            </a:r>
          </a:p>
          <a:p>
            <a:pPr>
              <a:defRPr/>
            </a:pPr>
            <a:r>
              <a:rPr lang="en-US" baseline="0"/>
              <a:t>AND THE POSITIVE IMPACT OF ALTERNATIVE STRATEGIES FOR DISCRETIONARY INCREASES TO REDUCE DECLINE OVER LIFETIME </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'DETAILED MODELLER - PERSON 1'!$D$63</c:f>
              <c:strCache>
                <c:ptCount val="1"/>
                <c:pt idx="0">
                  <c:v>RPI PENSION (000S)</c:v>
                </c:pt>
              </c:strCache>
            </c:strRef>
          </c:tx>
          <c:spPr>
            <a:ln w="34925" cap="rnd">
              <a:solidFill>
                <a:srgbClr val="00B050"/>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1'!$D$64:$D$93</c:f>
              <c:numCache>
                <c:formatCode>_(* #,##0.0_);_(* \(#,##0.0\);_(* "-"??_);_(@_)</c:formatCode>
                <c:ptCount val="30"/>
                <c:pt idx="0">
                  <c:v>15.39</c:v>
                </c:pt>
                <c:pt idx="1">
                  <c:v>16.005600000000001</c:v>
                </c:pt>
                <c:pt idx="2">
                  <c:v>16.412142240000001</c:v>
                </c:pt>
                <c:pt idx="3">
                  <c:v>16.853628866255999</c:v>
                </c:pt>
                <c:pt idx="4">
                  <c:v>17.190701443581123</c:v>
                </c:pt>
                <c:pt idx="5">
                  <c:v>17.534515472452746</c:v>
                </c:pt>
                <c:pt idx="6">
                  <c:v>17.885205781901799</c:v>
                </c:pt>
                <c:pt idx="7">
                  <c:v>18.242909897539839</c:v>
                </c:pt>
                <c:pt idx="8">
                  <c:v>18.607768095490634</c:v>
                </c:pt>
                <c:pt idx="9">
                  <c:v>18.979923457400449</c:v>
                </c:pt>
                <c:pt idx="10">
                  <c:v>19.359521926548457</c:v>
                </c:pt>
                <c:pt idx="11">
                  <c:v>19.746712365079425</c:v>
                </c:pt>
                <c:pt idx="12">
                  <c:v>20.141646612381013</c:v>
                </c:pt>
                <c:pt idx="13">
                  <c:v>20.544479544628633</c:v>
                </c:pt>
                <c:pt idx="14">
                  <c:v>20.955369135521206</c:v>
                </c:pt>
                <c:pt idx="15">
                  <c:v>21.374476518231628</c:v>
                </c:pt>
                <c:pt idx="16">
                  <c:v>21.801966048596263</c:v>
                </c:pt>
                <c:pt idx="17">
                  <c:v>22.238005369568189</c:v>
                </c:pt>
                <c:pt idx="18">
                  <c:v>22.682765476959553</c:v>
                </c:pt>
                <c:pt idx="19">
                  <c:v>23.136420786498743</c:v>
                </c:pt>
                <c:pt idx="20">
                  <c:v>23.59914920222872</c:v>
                </c:pt>
                <c:pt idx="21">
                  <c:v>24.071132186273296</c:v>
                </c:pt>
                <c:pt idx="22">
                  <c:v>24.552554829998762</c:v>
                </c:pt>
                <c:pt idx="23">
                  <c:v>25.043605926598737</c:v>
                </c:pt>
                <c:pt idx="24">
                  <c:v>25.54447804513071</c:v>
                </c:pt>
                <c:pt idx="25">
                  <c:v>26.055367606033325</c:v>
                </c:pt>
                <c:pt idx="26">
                  <c:v>26.576474958153991</c:v>
                </c:pt>
                <c:pt idx="27">
                  <c:v>27.108004457317072</c:v>
                </c:pt>
                <c:pt idx="28">
                  <c:v>27.650164546463412</c:v>
                </c:pt>
                <c:pt idx="29">
                  <c:v>28.20316783739268</c:v>
                </c:pt>
              </c:numCache>
            </c:numRef>
          </c:val>
          <c:smooth val="0"/>
          <c:extLst>
            <c:ext xmlns:c16="http://schemas.microsoft.com/office/drawing/2014/chart" uri="{C3380CC4-5D6E-409C-BE32-E72D297353CC}">
              <c16:uniqueId val="{00000000-2C0C-EF46-B8EF-101B93481C71}"/>
            </c:ext>
          </c:extLst>
        </c:ser>
        <c:ser>
          <c:idx val="1"/>
          <c:order val="1"/>
          <c:tx>
            <c:strRef>
              <c:f>'DETAILED MODELLER - PERSON 1'!$E$63</c:f>
              <c:strCache>
                <c:ptCount val="1"/>
                <c:pt idx="0">
                  <c:v>CURRENT PENSION </c:v>
                </c:pt>
              </c:strCache>
            </c:strRef>
          </c:tx>
          <c:spPr>
            <a:ln w="34925" cap="rnd">
              <a:solidFill>
                <a:schemeClr val="bg1"/>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1'!$E$64:$E$93</c:f>
              <c:numCache>
                <c:formatCode>_(* #,##0.0_);_(* \(#,##0.0\);_(* "-"??_);_(@_)</c:formatCode>
                <c:ptCount val="30"/>
                <c:pt idx="0">
                  <c:v>15.041052631578946</c:v>
                </c:pt>
                <c:pt idx="1">
                  <c:v>15.104383379501384</c:v>
                </c:pt>
                <c:pt idx="2">
                  <c:v>15.144767730852893</c:v>
                </c:pt>
                <c:pt idx="3">
                  <c:v>15.187651336322361</c:v>
                </c:pt>
                <c:pt idx="4">
                  <c:v>15.219625339135671</c:v>
                </c:pt>
                <c:pt idx="5">
                  <c:v>15.251666655639115</c:v>
                </c:pt>
                <c:pt idx="6">
                  <c:v>15.283775427545725</c:v>
                </c:pt>
                <c:pt idx="7">
                  <c:v>15.315951796866873</c:v>
                </c:pt>
                <c:pt idx="8">
                  <c:v>15.34819590591291</c:v>
                </c:pt>
                <c:pt idx="9">
                  <c:v>15.380507897293779</c:v>
                </c:pt>
                <c:pt idx="10">
                  <c:v>15.412887913919661</c:v>
                </c:pt>
                <c:pt idx="11">
                  <c:v>15.445336099001597</c:v>
                </c:pt>
                <c:pt idx="12">
                  <c:v>15.477852596052127</c:v>
                </c:pt>
                <c:pt idx="13">
                  <c:v>15.510437548885921</c:v>
                </c:pt>
                <c:pt idx="14">
                  <c:v>15.543091101620417</c:v>
                </c:pt>
                <c:pt idx="15">
                  <c:v>15.575813398676461</c:v>
                </c:pt>
                <c:pt idx="16">
                  <c:v>15.608604584778938</c:v>
                </c:pt>
                <c:pt idx="17">
                  <c:v>15.641464804957419</c:v>
                </c:pt>
                <c:pt idx="18">
                  <c:v>15.674394204546802</c:v>
                </c:pt>
                <c:pt idx="19">
                  <c:v>15.707392929187954</c:v>
                </c:pt>
                <c:pt idx="20">
                  <c:v>15.740461124828348</c:v>
                </c:pt>
                <c:pt idx="21">
                  <c:v>15.773598937722726</c:v>
                </c:pt>
                <c:pt idx="22">
                  <c:v>15.80680651443372</c:v>
                </c:pt>
                <c:pt idx="23">
                  <c:v>15.840084001832526</c:v>
                </c:pt>
                <c:pt idx="24">
                  <c:v>15.873431547099543</c:v>
                </c:pt>
                <c:pt idx="25">
                  <c:v>15.906849297725016</c:v>
                </c:pt>
                <c:pt idx="26">
                  <c:v>15.9403374015097</c:v>
                </c:pt>
                <c:pt idx="27">
                  <c:v>15.973896006565511</c:v>
                </c:pt>
                <c:pt idx="28">
                  <c:v>16.007525261316175</c:v>
                </c:pt>
                <c:pt idx="29">
                  <c:v>16.04122531449789</c:v>
                </c:pt>
              </c:numCache>
            </c:numRef>
          </c:val>
          <c:smooth val="0"/>
          <c:extLst>
            <c:ext xmlns:c16="http://schemas.microsoft.com/office/drawing/2014/chart" uri="{C3380CC4-5D6E-409C-BE32-E72D297353CC}">
              <c16:uniqueId val="{00000001-2C0C-EF46-B8EF-101B93481C71}"/>
            </c:ext>
          </c:extLst>
        </c:ser>
        <c:ser>
          <c:idx val="2"/>
          <c:order val="2"/>
          <c:tx>
            <c:strRef>
              <c:f>'DETAILED MODELLER - PERSON 1'!$F$63</c:f>
              <c:strCache>
                <c:ptCount val="1"/>
                <c:pt idx="0">
                  <c:v>TOTAL INCOME SHORTFALL </c:v>
                </c:pt>
              </c:strCache>
            </c:strRef>
          </c:tx>
          <c:spPr>
            <a:ln w="34925" cap="rnd">
              <a:solidFill>
                <a:srgbClr val="C00000"/>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1'!$F$64:$F$93</c:f>
              <c:numCache>
                <c:formatCode>#,##0.0</c:formatCode>
                <c:ptCount val="30"/>
                <c:pt idx="0">
                  <c:v>-0.34894736842105339</c:v>
                </c:pt>
                <c:pt idx="1">
                  <c:v>-1.2501639889196703</c:v>
                </c:pt>
                <c:pt idx="2">
                  <c:v>-2.5175384980667785</c:v>
                </c:pt>
                <c:pt idx="3">
                  <c:v>-4.183516028000418</c:v>
                </c:pt>
                <c:pt idx="4">
                  <c:v>-6.1545921324458686</c:v>
                </c:pt>
                <c:pt idx="5">
                  <c:v>-8.4374409492594982</c:v>
                </c:pt>
                <c:pt idx="6">
                  <c:v>-11.038871303615576</c:v>
                </c:pt>
                <c:pt idx="7">
                  <c:v>-13.96582940428854</c:v>
                </c:pt>
                <c:pt idx="8">
                  <c:v>-17.225401593866263</c:v>
                </c:pt>
                <c:pt idx="9">
                  <c:v>-20.82481715397293</c:v>
                </c:pt>
                <c:pt idx="10">
                  <c:v>-24.771451166601725</c:v>
                </c:pt>
                <c:pt idx="11">
                  <c:v>-29.072827432679549</c:v>
                </c:pt>
                <c:pt idx="12">
                  <c:v>-33.736621449008439</c:v>
                </c:pt>
                <c:pt idx="13">
                  <c:v>-38.77066344475115</c:v>
                </c:pt>
                <c:pt idx="14">
                  <c:v>-44.182941478651941</c:v>
                </c:pt>
                <c:pt idx="15">
                  <c:v>-49.981604598207106</c:v>
                </c:pt>
                <c:pt idx="16">
                  <c:v>-56.174966062024431</c:v>
                </c:pt>
                <c:pt idx="17">
                  <c:v>-62.771506626635201</c:v>
                </c:pt>
                <c:pt idx="18">
                  <c:v>-69.779877899047946</c:v>
                </c:pt>
                <c:pt idx="19">
                  <c:v>-77.208905756358746</c:v>
                </c:pt>
                <c:pt idx="20">
                  <c:v>-85.067593833759105</c:v>
                </c:pt>
                <c:pt idx="21">
                  <c:v>-93.36512708230967</c:v>
                </c:pt>
                <c:pt idx="22">
                  <c:v>-102.11087539787471</c:v>
                </c:pt>
                <c:pt idx="23">
                  <c:v>-111.31439732264091</c:v>
                </c:pt>
                <c:pt idx="24">
                  <c:v>-120.98544382067207</c:v>
                </c:pt>
                <c:pt idx="25">
                  <c:v>-131.13396212898039</c:v>
                </c:pt>
                <c:pt idx="26">
                  <c:v>-141.77009968562467</c:v>
                </c:pt>
                <c:pt idx="27">
                  <c:v>-152.90420813637621</c:v>
                </c:pt>
                <c:pt idx="28">
                  <c:v>-164.54684742152347</c:v>
                </c:pt>
                <c:pt idx="29">
                  <c:v>-176.70878994441827</c:v>
                </c:pt>
              </c:numCache>
            </c:numRef>
          </c:val>
          <c:smooth val="0"/>
          <c:extLst>
            <c:ext xmlns:c16="http://schemas.microsoft.com/office/drawing/2014/chart" uri="{C3380CC4-5D6E-409C-BE32-E72D297353CC}">
              <c16:uniqueId val="{00000002-2C0C-EF46-B8EF-101B93481C71}"/>
            </c:ext>
          </c:extLst>
        </c:ser>
        <c:ser>
          <c:idx val="3"/>
          <c:order val="3"/>
          <c:tx>
            <c:strRef>
              <c:f>'DETAILED MODELLER - PERSON 1'!$G$63</c:f>
              <c:strCache>
                <c:ptCount val="1"/>
                <c:pt idx="0">
                  <c:v>AD-HOC STRATEGY - SHORTFALL</c:v>
                </c:pt>
              </c:strCache>
            </c:strRef>
          </c:tx>
          <c:spPr>
            <a:ln w="34925" cap="rnd">
              <a:solidFill>
                <a:schemeClr val="accent4"/>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1'!$G$64:$G$93</c:f>
              <c:numCache>
                <c:formatCode>#,##0.0</c:formatCode>
                <c:ptCount val="30"/>
                <c:pt idx="0">
                  <c:v>-0.34894736842105339</c:v>
                </c:pt>
                <c:pt idx="1">
                  <c:v>-1.2501639889196703</c:v>
                </c:pt>
                <c:pt idx="2">
                  <c:v>-2.5175384980667785</c:v>
                </c:pt>
                <c:pt idx="3">
                  <c:v>-4.183516028000418</c:v>
                </c:pt>
                <c:pt idx="4">
                  <c:v>-6.018702620489301</c:v>
                </c:pt>
                <c:pt idx="5">
                  <c:v>-8.1653758421632983</c:v>
                </c:pt>
                <c:pt idx="6">
                  <c:v>-10.630343915916288</c:v>
                </c:pt>
                <c:pt idx="7">
                  <c:v>-13.420552446974371</c:v>
                </c:pt>
                <c:pt idx="8">
                  <c:v>-16.543087173106446</c:v>
                </c:pt>
                <c:pt idx="9">
                  <c:v>-20.005176769844425</c:v>
                </c:pt>
                <c:pt idx="10">
                  <c:v>-23.814195711813227</c:v>
                </c:pt>
                <c:pt idx="11">
                  <c:v>-27.977667191292827</c:v>
                </c:pt>
                <c:pt idx="12">
                  <c:v>-32.503266095156967</c:v>
                </c:pt>
                <c:pt idx="13">
                  <c:v>-37.398822041356055</c:v>
                </c:pt>
                <c:pt idx="14">
                  <c:v>-42.672322476135236</c:v>
                </c:pt>
                <c:pt idx="15">
                  <c:v>-48.331915833202217</c:v>
                </c:pt>
                <c:pt idx="16">
                  <c:v>-54.245307906747286</c:v>
                </c:pt>
                <c:pt idx="17">
                  <c:v>-60.561289671843113</c:v>
                </c:pt>
                <c:pt idx="18">
                  <c:v>-67.28851149463668</c:v>
                </c:pt>
                <c:pt idx="19">
                  <c:v>-74.43579800875014</c:v>
                </c:pt>
                <c:pt idx="20">
                  <c:v>-82.012151603283286</c:v>
                </c:pt>
                <c:pt idx="21">
                  <c:v>-90.026755980581655</c:v>
                </c:pt>
                <c:pt idx="22">
                  <c:v>-98.48897978516554</c:v>
                </c:pt>
                <c:pt idx="23">
                  <c:v>-107.40838030524328</c:v>
                </c:pt>
                <c:pt idx="24">
                  <c:v>-116.79470724826029</c:v>
                </c:pt>
                <c:pt idx="25">
                  <c:v>-126.65790659196496</c:v>
                </c:pt>
                <c:pt idx="26">
                  <c:v>-137.00812451250118</c:v>
                </c:pt>
                <c:pt idx="27">
                  <c:v>-147.85571139106864</c:v>
                </c:pt>
                <c:pt idx="28">
                  <c:v>-159.21122590072193</c:v>
                </c:pt>
                <c:pt idx="29">
                  <c:v>-170.93964493773976</c:v>
                </c:pt>
              </c:numCache>
            </c:numRef>
          </c:val>
          <c:smooth val="0"/>
          <c:extLst>
            <c:ext xmlns:c16="http://schemas.microsoft.com/office/drawing/2014/chart" uri="{C3380CC4-5D6E-409C-BE32-E72D297353CC}">
              <c16:uniqueId val="{00000003-2C0C-EF46-B8EF-101B93481C71}"/>
            </c:ext>
          </c:extLst>
        </c:ser>
        <c:ser>
          <c:idx val="4"/>
          <c:order val="4"/>
          <c:tx>
            <c:strRef>
              <c:f>'DETAILED MODELLER - PERSON 1'!$H$63</c:f>
              <c:strCache>
                <c:ptCount val="1"/>
                <c:pt idx="0">
                  <c:v>ETHICAL 1 - SHORTFALL</c:v>
                </c:pt>
              </c:strCache>
            </c:strRef>
          </c:tx>
          <c:spPr>
            <a:ln w="34925" cap="rnd">
              <a:solidFill>
                <a:schemeClr val="accent5"/>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1'!$H$64:$H$93</c:f>
              <c:numCache>
                <c:formatCode>#,##0.0</c:formatCode>
                <c:ptCount val="30"/>
                <c:pt idx="0">
                  <c:v>-0.34894736842105339</c:v>
                </c:pt>
                <c:pt idx="1">
                  <c:v>-1.2501639889196703</c:v>
                </c:pt>
                <c:pt idx="2">
                  <c:v>-2.5175384980667785</c:v>
                </c:pt>
                <c:pt idx="3">
                  <c:v>-4.183516028000418</c:v>
                </c:pt>
                <c:pt idx="4">
                  <c:v>-5.8828131085327335</c:v>
                </c:pt>
                <c:pt idx="5">
                  <c:v>-7.8933107350670966</c:v>
                </c:pt>
                <c:pt idx="6">
                  <c:v>-9.9440183141321477</c:v>
                </c:pt>
                <c:pt idx="7">
                  <c:v>-12.319094223145052</c:v>
                </c:pt>
                <c:pt idx="8">
                  <c:v>-14.741671650338215</c:v>
                </c:pt>
                <c:pt idx="9">
                  <c:v>-17.502330353823723</c:v>
                </c:pt>
                <c:pt idx="10">
                  <c:v>-20.318202231378937</c:v>
                </c:pt>
                <c:pt idx="11">
                  <c:v>-23.486435810519872</c:v>
                </c:pt>
                <c:pt idx="12">
                  <c:v>-26.718034061243628</c:v>
                </c:pt>
                <c:pt idx="13">
                  <c:v>-30.316865142400985</c:v>
                </c:pt>
                <c:pt idx="14">
                  <c:v>-33.987672845181486</c:v>
                </c:pt>
                <c:pt idx="15">
                  <c:v>-38.041199380287694</c:v>
                </c:pt>
                <c:pt idx="16">
                  <c:v>-42.175796446096037</c:v>
                </c:pt>
                <c:pt idx="17">
                  <c:v>-46.709238371859904</c:v>
                </c:pt>
                <c:pt idx="18">
                  <c:v>-51.333349136139049</c:v>
                </c:pt>
                <c:pt idx="19">
                  <c:v>-56.373096989509634</c:v>
                </c:pt>
                <c:pt idx="20">
                  <c:v>-61.513639799947633</c:v>
                </c:pt>
                <c:pt idx="21">
                  <c:v>-67.087305370447481</c:v>
                </c:pt>
                <c:pt idx="22">
                  <c:v>-72.772444252357332</c:v>
                </c:pt>
                <c:pt idx="23">
                  <c:v>-78.908913355186968</c:v>
                </c:pt>
                <c:pt idx="24">
                  <c:v>-85.168111840073209</c:v>
                </c:pt>
                <c:pt idx="25">
                  <c:v>-91.897599297314173</c:v>
                </c:pt>
                <c:pt idx="26">
                  <c:v>-98.761676503699945</c:v>
                </c:pt>
                <c:pt idx="27">
                  <c:v>-106.11578342450824</c:v>
                </c:pt>
                <c:pt idx="28">
                  <c:v>-113.6169724837327</c:v>
                </c:pt>
                <c:pt idx="29">
                  <c:v>-121.62874593812381</c:v>
                </c:pt>
              </c:numCache>
            </c:numRef>
          </c:val>
          <c:smooth val="0"/>
          <c:extLst>
            <c:ext xmlns:c16="http://schemas.microsoft.com/office/drawing/2014/chart" uri="{C3380CC4-5D6E-409C-BE32-E72D297353CC}">
              <c16:uniqueId val="{00000004-2C0C-EF46-B8EF-101B93481C71}"/>
            </c:ext>
          </c:extLst>
        </c:ser>
        <c:ser>
          <c:idx val="5"/>
          <c:order val="5"/>
          <c:tx>
            <c:strRef>
              <c:f>'DETAILED MODELLER - PERSON 1'!$I$63</c:f>
              <c:strCache>
                <c:ptCount val="1"/>
                <c:pt idx="0">
                  <c:v>ETHICAL 2- SHORTFALL</c:v>
                </c:pt>
              </c:strCache>
            </c:strRef>
          </c:tx>
          <c:spPr>
            <a:ln w="34925" cap="rnd">
              <a:solidFill>
                <a:schemeClr val="accent6"/>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1'!$I$64:$I$93</c:f>
              <c:numCache>
                <c:formatCode>#,##0.0</c:formatCode>
                <c:ptCount val="30"/>
                <c:pt idx="0">
                  <c:v>-0.34894736842105339</c:v>
                </c:pt>
                <c:pt idx="1">
                  <c:v>-1.2501639889196703</c:v>
                </c:pt>
                <c:pt idx="2">
                  <c:v>-2.5175384980667785</c:v>
                </c:pt>
                <c:pt idx="3">
                  <c:v>-4.183516028000418</c:v>
                </c:pt>
                <c:pt idx="4">
                  <c:v>-6.018702620489301</c:v>
                </c:pt>
                <c:pt idx="5">
                  <c:v>-8.027984393495629</c:v>
                </c:pt>
                <c:pt idx="6">
                  <c:v>-10.216361787693975</c:v>
                </c:pt>
                <c:pt idx="7">
                  <c:v>-12.588952036403109</c:v>
                </c:pt>
                <c:pt idx="8">
                  <c:v>-15.150991686944383</c:v>
                </c:pt>
                <c:pt idx="9">
                  <c:v>-17.907839174477608</c:v>
                </c:pt>
                <c:pt idx="10">
                  <c:v>-20.864977449386629</c:v>
                </c:pt>
                <c:pt idx="11">
                  <c:v>-24.028016659308495</c:v>
                </c:pt>
                <c:pt idx="12">
                  <c:v>-27.402696886922314</c:v>
                </c:pt>
                <c:pt idx="13">
                  <c:v>-30.994890944636325</c:v>
                </c:pt>
                <c:pt idx="14">
                  <c:v>-34.810607227334906</c:v>
                </c:pt>
                <c:pt idx="15">
                  <c:v>-38.855992624370607</c:v>
                </c:pt>
                <c:pt idx="16">
                  <c:v>-43.137335492010358</c:v>
                </c:pt>
                <c:pt idx="17">
                  <c:v>-47.661068687569355</c:v>
                </c:pt>
                <c:pt idx="18">
                  <c:v>-52.433772666491194</c:v>
                </c:pt>
                <c:pt idx="19">
                  <c:v>-57.462178643658127</c:v>
                </c:pt>
                <c:pt idx="20">
                  <c:v>-62.753171820241363</c:v>
                </c:pt>
                <c:pt idx="21">
                  <c:v>-68.313794677427822</c:v>
                </c:pt>
                <c:pt idx="22">
                  <c:v>-74.151250338386689</c:v>
                </c:pt>
                <c:pt idx="23">
                  <c:v>-80.272905999866666</c:v>
                </c:pt>
                <c:pt idx="24">
                  <c:v>-86.686296434843101</c:v>
                </c:pt>
                <c:pt idx="25">
                  <c:v>-93.399127567662532</c:v>
                </c:pt>
                <c:pt idx="26">
                  <c:v>-100.41928012316187</c:v>
                </c:pt>
                <c:pt idx="27">
                  <c:v>-107.75481335126862</c:v>
                </c:pt>
                <c:pt idx="28">
                  <c:v>-115.41396882861991</c:v>
                </c:pt>
                <c:pt idx="29">
                  <c:v>-123.40517433876818</c:v>
                </c:pt>
              </c:numCache>
            </c:numRef>
          </c:val>
          <c:smooth val="0"/>
          <c:extLst>
            <c:ext xmlns:c16="http://schemas.microsoft.com/office/drawing/2014/chart" uri="{C3380CC4-5D6E-409C-BE32-E72D297353CC}">
              <c16:uniqueId val="{00000005-2C0C-EF46-B8EF-101B93481C71}"/>
            </c:ext>
          </c:extLst>
        </c:ser>
        <c:ser>
          <c:idx val="6"/>
          <c:order val="6"/>
          <c:tx>
            <c:strRef>
              <c:f>'DETAILED MODELLER - PERSON 1'!$J$63</c:f>
              <c:strCache>
                <c:ptCount val="1"/>
                <c:pt idx="0">
                  <c:v>ETHICAL 3 SHORTFALL</c:v>
                </c:pt>
              </c:strCache>
            </c:strRef>
          </c:tx>
          <c:spPr>
            <a:ln w="34925" cap="rnd">
              <a:solidFill>
                <a:schemeClr val="accent1">
                  <a:lumMod val="60000"/>
                </a:schemeClr>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1'!$J$64:$J$93</c:f>
              <c:numCache>
                <c:formatCode>#,##0.0</c:formatCode>
                <c:ptCount val="30"/>
                <c:pt idx="0">
                  <c:v>-0.34894736842105339</c:v>
                </c:pt>
                <c:pt idx="1">
                  <c:v>-1.2501639889196703</c:v>
                </c:pt>
                <c:pt idx="2">
                  <c:v>-2.5175384980667785</c:v>
                </c:pt>
                <c:pt idx="3">
                  <c:v>-4.183516028000418</c:v>
                </c:pt>
                <c:pt idx="4">
                  <c:v>-6.018702620489301</c:v>
                </c:pt>
                <c:pt idx="5">
                  <c:v>-8.027984393495629</c:v>
                </c:pt>
                <c:pt idx="6">
                  <c:v>-10.077451801962086</c:v>
                </c:pt>
                <c:pt idx="7">
                  <c:v>-12.3095967440444</c:v>
                </c:pt>
                <c:pt idx="8">
                  <c:v>-14.72963879772772</c:v>
                </c:pt>
                <c:pt idx="9">
                  <c:v>-17.198081692484703</c:v>
                </c:pt>
                <c:pt idx="10">
                  <c:v>-19.863627744907845</c:v>
                </c:pt>
                <c:pt idx="11">
                  <c:v>-22.731851870937412</c:v>
                </c:pt>
                <c:pt idx="12">
                  <c:v>-25.657440479487569</c:v>
                </c:pt>
                <c:pt idx="13">
                  <c:v>-28.795579273927217</c:v>
                </c:pt>
                <c:pt idx="14">
                  <c:v>-32.152221787809985</c:v>
                </c:pt>
                <c:pt idx="15">
                  <c:v>-35.575997151970398</c:v>
                </c:pt>
                <c:pt idx="16">
                  <c:v>-39.228859560055717</c:v>
                </c:pt>
                <c:pt idx="17">
                  <c:v>-43.117165933086262</c:v>
                </c:pt>
                <c:pt idx="18">
                  <c:v>-47.083238433577414</c:v>
                </c:pt>
                <c:pt idx="19">
                  <c:v>-51.29609753176257</c:v>
                </c:pt>
                <c:pt idx="20">
                  <c:v>-55.762529890175294</c:v>
                </c:pt>
                <c:pt idx="21">
                  <c:v>-60.318290895756277</c:v>
                </c:pt>
                <c:pt idx="22">
                  <c:v>-65.139778337276113</c:v>
                </c:pt>
                <c:pt idx="23">
                  <c:v>-70.23423665689171</c:v>
                </c:pt>
                <c:pt idx="24">
                  <c:v>-75.43058414289959</c:v>
                </c:pt>
                <c:pt idx="25">
                  <c:v>-80.912920799419794</c:v>
                </c:pt>
                <c:pt idx="26">
                  <c:v>-86.688978676513415</c:v>
                </c:pt>
                <c:pt idx="27">
                  <c:v>-92.580557711148913</c:v>
                </c:pt>
                <c:pt idx="28">
                  <c:v>-98.779799501311629</c:v>
                </c:pt>
                <c:pt idx="29">
                  <c:v>-105.29495543614978</c:v>
                </c:pt>
              </c:numCache>
            </c:numRef>
          </c:val>
          <c:smooth val="0"/>
          <c:extLst>
            <c:ext xmlns:c16="http://schemas.microsoft.com/office/drawing/2014/chart" uri="{C3380CC4-5D6E-409C-BE32-E72D297353CC}">
              <c16:uniqueId val="{00000006-2C0C-EF46-B8EF-101B93481C71}"/>
            </c:ext>
          </c:extLst>
        </c:ser>
        <c:ser>
          <c:idx val="7"/>
          <c:order val="7"/>
          <c:tx>
            <c:strRef>
              <c:f>'DETAILED MODELLER - PERSON 1'!$K$63</c:f>
              <c:strCache>
                <c:ptCount val="1"/>
                <c:pt idx="0">
                  <c:v>ETHICAL 4 - SHORTFALL</c:v>
                </c:pt>
              </c:strCache>
            </c:strRef>
          </c:tx>
          <c:spPr>
            <a:ln w="34925" cap="rnd">
              <a:solidFill>
                <a:schemeClr val="accent2">
                  <a:lumMod val="60000"/>
                </a:schemeClr>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1'!$K$64:$K$93</c:f>
              <c:numCache>
                <c:formatCode>#,##0.0</c:formatCode>
                <c:ptCount val="30"/>
                <c:pt idx="0">
                  <c:v>-0.34894736842105339</c:v>
                </c:pt>
                <c:pt idx="1">
                  <c:v>-1.2501639889196703</c:v>
                </c:pt>
                <c:pt idx="2">
                  <c:v>-2.5175384980667785</c:v>
                </c:pt>
                <c:pt idx="3">
                  <c:v>-4.183516028000418</c:v>
                </c:pt>
                <c:pt idx="4">
                  <c:v>-5.8828131085327335</c:v>
                </c:pt>
                <c:pt idx="5">
                  <c:v>-7.6160961306756967</c:v>
                </c:pt>
                <c:pt idx="6">
                  <c:v>-9.384044813261518</c:v>
                </c:pt>
                <c:pt idx="7">
                  <c:v>-11.187352469499057</c:v>
                </c:pt>
                <c:pt idx="8">
                  <c:v>-13.02672627886135</c:v>
                </c:pt>
                <c:pt idx="9">
                  <c:v>-14.977904065164619</c:v>
                </c:pt>
                <c:pt idx="10">
                  <c:v>-17.044286637827813</c:v>
                </c:pt>
                <c:pt idx="11">
                  <c:v>-19.229360906422176</c:v>
                </c:pt>
                <c:pt idx="12">
                  <c:v>-21.536701883451649</c:v>
                </c:pt>
                <c:pt idx="13">
                  <c:v>-23.969974731548284</c:v>
                </c:pt>
                <c:pt idx="14">
                  <c:v>-26.53293685603871</c:v>
                </c:pt>
                <c:pt idx="15">
                  <c:v>-29.31172186469658</c:v>
                </c:pt>
                <c:pt idx="16">
                  <c:v>-32.312465076508005</c:v>
                </c:pt>
                <c:pt idx="17">
                  <c:v>-35.541444620042689</c:v>
                </c:pt>
                <c:pt idx="18">
                  <c:v>-39.005084511838888</c:v>
                </c:pt>
                <c:pt idx="19">
                  <c:v>-42.709957798811949</c:v>
                </c:pt>
                <c:pt idx="20">
                  <c:v>-46.662789765993914</c:v>
                </c:pt>
                <c:pt idx="21">
                  <c:v>-50.870461210938352</c:v>
                </c:pt>
                <c:pt idx="22">
                  <c:v>-55.340011786151464</c:v>
                </c:pt>
                <c:pt idx="23">
                  <c:v>-60.078643410937978</c:v>
                </c:pt>
                <c:pt idx="24">
                  <c:v>-65.093723754078539</c:v>
                </c:pt>
                <c:pt idx="25">
                  <c:v>-70.392789788783915</c:v>
                </c:pt>
                <c:pt idx="26">
                  <c:v>-75.983551421400563</c:v>
                </c:pt>
                <c:pt idx="27">
                  <c:v>-81.873895195371716</c:v>
                </c:pt>
                <c:pt idx="28">
                  <c:v>-88.071888071989079</c:v>
                </c:pt>
                <c:pt idx="29">
                  <c:v>-94.681751531181447</c:v>
                </c:pt>
              </c:numCache>
            </c:numRef>
          </c:val>
          <c:smooth val="0"/>
          <c:extLst>
            <c:ext xmlns:c16="http://schemas.microsoft.com/office/drawing/2014/chart" uri="{C3380CC4-5D6E-409C-BE32-E72D297353CC}">
              <c16:uniqueId val="{00000000-7B9F-164F-9C22-D7C768E7F29E}"/>
            </c:ext>
          </c:extLst>
        </c:ser>
        <c:dLbls>
          <c:showLegendKey val="0"/>
          <c:showVal val="0"/>
          <c:showCatName val="0"/>
          <c:showSerName val="0"/>
          <c:showPercent val="0"/>
          <c:showBubbleSize val="0"/>
        </c:dLbls>
        <c:smooth val="0"/>
        <c:axId val="273423983"/>
        <c:axId val="225143615"/>
      </c:lineChart>
      <c:catAx>
        <c:axId val="273423983"/>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25143615"/>
        <c:crosses val="autoZero"/>
        <c:auto val="1"/>
        <c:lblAlgn val="ctr"/>
        <c:lblOffset val="100"/>
        <c:noMultiLvlLbl val="0"/>
      </c:catAx>
      <c:valAx>
        <c:axId val="225143615"/>
        <c:scaling>
          <c:orientation val="minMax"/>
        </c:scaling>
        <c:delete val="0"/>
        <c:axPos val="l"/>
        <c:majorGridlines>
          <c:spPr>
            <a:ln w="9525" cap="flat" cmpd="sng" algn="ctr">
              <a:solidFill>
                <a:schemeClr val="lt1">
                  <a:lumMod val="95000"/>
                  <a:alpha val="10000"/>
                </a:schemeClr>
              </a:solidFill>
              <a:round/>
            </a:ln>
            <a:effectLst/>
          </c:spPr>
        </c:majorGridlines>
        <c:title>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title>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73423983"/>
        <c:crosses val="autoZero"/>
        <c:crossBetween val="between"/>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THIRTY YEAR VIEW FROM DATE OF RETIREMENT - </a:t>
            </a:r>
            <a:r>
              <a:rPr lang="en-US">
                <a:solidFill>
                  <a:srgbClr val="FFFF00"/>
                </a:solidFill>
              </a:rPr>
              <a:t>PERSON 1</a:t>
            </a:r>
          </a:p>
          <a:p>
            <a:pPr>
              <a:defRPr/>
            </a:pPr>
            <a:r>
              <a:rPr lang="en-US"/>
              <a:t>VALUE OF</a:t>
            </a:r>
            <a:r>
              <a:rPr lang="en-US" baseline="0"/>
              <a:t> </a:t>
            </a:r>
            <a:r>
              <a:rPr lang="en-US"/>
              <a:t>PENSION &amp; IT'S BUYING POWER CONTRASTED WITH A PENSION THAT RISES </a:t>
            </a:r>
            <a:r>
              <a:rPr lang="en-US" baseline="0"/>
              <a:t> WITH INFLATION</a:t>
            </a:r>
            <a:endParaRPr lang="en-US"/>
          </a:p>
          <a:p>
            <a:pPr>
              <a:defRPr/>
            </a:pPr>
            <a:r>
              <a:rPr lang="en-US"/>
              <a:t> AND THE POSITIVE</a:t>
            </a:r>
            <a:r>
              <a:rPr lang="en-US" baseline="0"/>
              <a:t> </a:t>
            </a:r>
            <a:r>
              <a:rPr lang="en-US"/>
              <a:t>IMPACT OF ALTERNATIVE</a:t>
            </a:r>
            <a:r>
              <a:rPr lang="en-US" baseline="0"/>
              <a:t> STRATEGIES FOR DISCRETIONARY INCREASES OVER LIFETIME</a:t>
            </a:r>
            <a:endParaRPr lang="en-US"/>
          </a:p>
          <a:p>
            <a:pPr>
              <a:defRPr/>
            </a:pPr>
            <a:endParaRPr lang="en-US"/>
          </a:p>
        </c:rich>
      </c:tx>
      <c:layout>
        <c:manualLayout>
          <c:xMode val="edge"/>
          <c:yMode val="edge"/>
          <c:x val="0.13791981312103796"/>
          <c:y val="2.0776237680809939E-2"/>
        </c:manualLayout>
      </c:layout>
      <c:overlay val="0"/>
      <c:spPr>
        <a:noFill/>
        <a:ln>
          <a:solidFill>
            <a:schemeClr val="bg1"/>
          </a:solid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9.9459235018240402E-2"/>
          <c:y val="2.1158645550292489E-2"/>
          <c:w val="0.85730831148801334"/>
          <c:h val="0.82071429337634483"/>
        </c:manualLayout>
      </c:layout>
      <c:lineChart>
        <c:grouping val="standard"/>
        <c:varyColors val="0"/>
        <c:ser>
          <c:idx val="0"/>
          <c:order val="0"/>
          <c:tx>
            <c:strRef>
              <c:f>'DETAILED MODELLER - PERSON 1'!$D$97</c:f>
              <c:strCache>
                <c:ptCount val="1"/>
                <c:pt idx="0">
                  <c:v>PENSION BUYING POWER</c:v>
                </c:pt>
              </c:strCache>
            </c:strRef>
          </c:tx>
          <c:spPr>
            <a:ln w="41275" cap="rnd">
              <a:solidFill>
                <a:srgbClr val="FF0000"/>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1'!$D$98:$D$127</c:f>
              <c:numCache>
                <c:formatCode>"£"#,##0</c:formatCode>
                <c:ptCount val="30"/>
                <c:pt idx="0">
                  <c:v>14692.105263157893</c:v>
                </c:pt>
                <c:pt idx="1">
                  <c:v>14203.166759002766</c:v>
                </c:pt>
                <c:pt idx="2">
                  <c:v>13877.393221705785</c:v>
                </c:pt>
                <c:pt idx="3">
                  <c:v>13521.673806388721</c:v>
                </c:pt>
                <c:pt idx="4">
                  <c:v>13248.549234690221</c:v>
                </c:pt>
                <c:pt idx="5">
                  <c:v>12968.817838825486</c:v>
                </c:pt>
                <c:pt idx="6">
                  <c:v>12682.345073189648</c:v>
                </c:pt>
                <c:pt idx="7">
                  <c:v>12388.993696193909</c:v>
                </c:pt>
                <c:pt idx="8">
                  <c:v>12088.623716335183</c:v>
                </c:pt>
                <c:pt idx="9">
                  <c:v>11781.09233718711</c:v>
                </c:pt>
                <c:pt idx="10">
                  <c:v>11466.253901290867</c:v>
                </c:pt>
                <c:pt idx="11">
                  <c:v>11143.959832923771</c:v>
                </c:pt>
                <c:pt idx="12">
                  <c:v>10814.058579723242</c:v>
                </c:pt>
                <c:pt idx="13">
                  <c:v>10476.395553143208</c:v>
                </c:pt>
                <c:pt idx="14">
                  <c:v>10130.813067719628</c:v>
                </c:pt>
                <c:pt idx="15">
                  <c:v>9777.1502791212915</c:v>
                </c:pt>
                <c:pt idx="16">
                  <c:v>9415.2431209616116</c:v>
                </c:pt>
                <c:pt idx="17">
                  <c:v>9044.9242403466487</c:v>
                </c:pt>
                <c:pt idx="18">
                  <c:v>8666.0229321340521</c:v>
                </c:pt>
                <c:pt idx="19">
                  <c:v>8278.3650718771642</c:v>
                </c:pt>
                <c:pt idx="20">
                  <c:v>7881.7730474279779</c:v>
                </c:pt>
                <c:pt idx="21">
                  <c:v>7476.0656891721555</c:v>
                </c:pt>
                <c:pt idx="22">
                  <c:v>7061.058198868679</c:v>
                </c:pt>
                <c:pt idx="23">
                  <c:v>6636.562077066319</c:v>
                </c:pt>
                <c:pt idx="24">
                  <c:v>6202.3850490683762</c:v>
                </c:pt>
                <c:pt idx="25">
                  <c:v>5758.3309894167069</c:v>
                </c:pt>
                <c:pt idx="26">
                  <c:v>5304.1998448654085</c:v>
                </c:pt>
                <c:pt idx="27">
                  <c:v>4839.7875558139494</c:v>
                </c:pt>
                <c:pt idx="28">
                  <c:v>4364.8859761689346</c:v>
                </c:pt>
                <c:pt idx="29">
                  <c:v>3879.2827916031019</c:v>
                </c:pt>
              </c:numCache>
            </c:numRef>
          </c:val>
          <c:smooth val="0"/>
          <c:extLst>
            <c:ext xmlns:c16="http://schemas.microsoft.com/office/drawing/2014/chart" uri="{C3380CC4-5D6E-409C-BE32-E72D297353CC}">
              <c16:uniqueId val="{00000000-46BC-A049-B35B-192C7EC61B72}"/>
            </c:ext>
          </c:extLst>
        </c:ser>
        <c:ser>
          <c:idx val="1"/>
          <c:order val="1"/>
          <c:tx>
            <c:strRef>
              <c:f>'DETAILED MODELLER - PERSON 1'!$E$97</c:f>
              <c:strCache>
                <c:ptCount val="1"/>
                <c:pt idx="0">
                  <c:v>AD-HOC STRATEGY</c:v>
                </c:pt>
              </c:strCache>
            </c:strRef>
          </c:tx>
          <c:spPr>
            <a:ln w="34925" cap="rnd">
              <a:solidFill>
                <a:schemeClr val="accent2"/>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1'!$E$98:$E$127</c:f>
              <c:numCache>
                <c:formatCode>"£"#,##0</c:formatCode>
                <c:ptCount val="30"/>
                <c:pt idx="1">
                  <c:v>14203.166759002766</c:v>
                </c:pt>
                <c:pt idx="2">
                  <c:v>13877.393221705785</c:v>
                </c:pt>
                <c:pt idx="3">
                  <c:v>13521.673806388721</c:v>
                </c:pt>
                <c:pt idx="4">
                  <c:v>13520.328258603357</c:v>
                </c:pt>
                <c:pt idx="5">
                  <c:v>13241.169029104753</c:v>
                </c:pt>
                <c:pt idx="6">
                  <c:v>12955.26963439582</c:v>
                </c:pt>
                <c:pt idx="7">
                  <c:v>12662.492835423673</c:v>
                </c:pt>
                <c:pt idx="8">
                  <c:v>12362.698643226482</c:v>
                </c:pt>
                <c:pt idx="9">
                  <c:v>12055.744263924495</c:v>
                </c:pt>
                <c:pt idx="10">
                  <c:v>11741.484042610853</c:v>
                </c:pt>
                <c:pt idx="11">
                  <c:v>11419.76940612022</c:v>
                </c:pt>
                <c:pt idx="12">
                  <c:v>11090.448804652737</c:v>
                </c:pt>
                <c:pt idx="13">
                  <c:v>10753.367652230452</c:v>
                </c:pt>
                <c:pt idx="14">
                  <c:v>10408.368265962847</c:v>
                </c:pt>
                <c:pt idx="15">
                  <c:v>10055.289804097654</c:v>
                </c:pt>
                <c:pt idx="16">
                  <c:v>9975.1819015061337</c:v>
                </c:pt>
                <c:pt idx="17">
                  <c:v>9606.0418393765285</c:v>
                </c:pt>
                <c:pt idx="18">
                  <c:v>9228.3218313724174</c:v>
                </c:pt>
                <c:pt idx="19">
                  <c:v>8841.8477582718224</c:v>
                </c:pt>
                <c:pt idx="20">
                  <c:v>8446.4420131624138</c:v>
                </c:pt>
                <c:pt idx="21">
                  <c:v>8041.9234316765578</c:v>
                </c:pt>
                <c:pt idx="22">
                  <c:v>7628.1072208309852</c:v>
                </c:pt>
                <c:pt idx="23">
                  <c:v>7204.8048864432822</c:v>
                </c:pt>
                <c:pt idx="24">
                  <c:v>6771.8241590966609</c:v>
                </c:pt>
                <c:pt idx="25">
                  <c:v>6328.9689186239993</c:v>
                </c:pt>
                <c:pt idx="26">
                  <c:v>5876.0391170815565</c:v>
                </c:pt>
                <c:pt idx="27">
                  <c:v>5412.8307001821304</c:v>
                </c:pt>
                <c:pt idx="28">
                  <c:v>4939.1355271568391</c:v>
                </c:pt>
                <c:pt idx="29">
                  <c:v>4746.3297633570583</c:v>
                </c:pt>
              </c:numCache>
            </c:numRef>
          </c:val>
          <c:smooth val="0"/>
          <c:extLst>
            <c:ext xmlns:c16="http://schemas.microsoft.com/office/drawing/2014/chart" uri="{C3380CC4-5D6E-409C-BE32-E72D297353CC}">
              <c16:uniqueId val="{00000001-46BC-A049-B35B-192C7EC61B72}"/>
            </c:ext>
          </c:extLst>
        </c:ser>
        <c:ser>
          <c:idx val="2"/>
          <c:order val="2"/>
          <c:tx>
            <c:strRef>
              <c:f>'DETAILED MODELLER - PERSON 1'!$F$97</c:f>
              <c:strCache>
                <c:ptCount val="1"/>
                <c:pt idx="0">
                  <c:v>ETHICAL 1 - BUY POWER</c:v>
                </c:pt>
              </c:strCache>
            </c:strRef>
          </c:tx>
          <c:spPr>
            <a:ln w="34925" cap="rnd">
              <a:solidFill>
                <a:schemeClr val="accent3"/>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1'!$F$98:$F$127</c:f>
              <c:numCache>
                <c:formatCode>"£"#,##0</c:formatCode>
                <c:ptCount val="30"/>
                <c:pt idx="1">
                  <c:v>14203.166759002766</c:v>
                </c:pt>
                <c:pt idx="2">
                  <c:v>13877.393221705785</c:v>
                </c:pt>
                <c:pt idx="3">
                  <c:v>13521.673806388721</c:v>
                </c:pt>
                <c:pt idx="4">
                  <c:v>13792.107282516492</c:v>
                </c:pt>
                <c:pt idx="5">
                  <c:v>13513.52021938402</c:v>
                </c:pt>
                <c:pt idx="6">
                  <c:v>13783.7906237717</c:v>
                </c:pt>
                <c:pt idx="7">
                  <c:v>13492.758079514027</c:v>
                </c:pt>
                <c:pt idx="8">
                  <c:v>13762.613241104307</c:v>
                </c:pt>
                <c:pt idx="9">
                  <c:v>13458.606050429433</c:v>
                </c:pt>
                <c:pt idx="10">
                  <c:v>13727.778171438025</c:v>
                </c:pt>
                <c:pt idx="11">
                  <c:v>13410.245206797554</c:v>
                </c:pt>
                <c:pt idx="12">
                  <c:v>13678.450110933507</c:v>
                </c:pt>
                <c:pt idx="13">
                  <c:v>13346.817382313919</c:v>
                </c:pt>
                <c:pt idx="14">
                  <c:v>13613.753729960197</c:v>
                </c:pt>
                <c:pt idx="15">
                  <c:v>13267.423448019206</c:v>
                </c:pt>
                <c:pt idx="16">
                  <c:v>13532.771916979593</c:v>
                </c:pt>
                <c:pt idx="17">
                  <c:v>13171.121518040458</c:v>
                </c:pt>
                <c:pt idx="18">
                  <c:v>13434.543948401268</c:v>
                </c:pt>
                <c:pt idx="19">
                  <c:v>13056.925079757577</c:v>
                </c:pt>
                <c:pt idx="20">
                  <c:v>13318.063581352726</c:v>
                </c:pt>
                <c:pt idx="21">
                  <c:v>12923.801045273583</c:v>
                </c:pt>
                <c:pt idx="22">
                  <c:v>13182.277066179053</c:v>
                </c:pt>
                <c:pt idx="23">
                  <c:v>12770.667720939455</c:v>
                </c:pt>
                <c:pt idx="24">
                  <c:v>13026.081075358248</c:v>
                </c:pt>
                <c:pt idx="25">
                  <c:v>12596.392691551402</c:v>
                </c:pt>
                <c:pt idx="26">
                  <c:v>12848.32054538243</c:v>
                </c:pt>
                <c:pt idx="27">
                  <c:v>12399.79061570048</c:v>
                </c:pt>
                <c:pt idx="28">
                  <c:v>12647.786428014486</c:v>
                </c:pt>
                <c:pt idx="29">
                  <c:v>12179.620928610431</c:v>
                </c:pt>
              </c:numCache>
            </c:numRef>
          </c:val>
          <c:smooth val="0"/>
          <c:extLst>
            <c:ext xmlns:c16="http://schemas.microsoft.com/office/drawing/2014/chart" uri="{C3380CC4-5D6E-409C-BE32-E72D297353CC}">
              <c16:uniqueId val="{00000002-46BC-A049-B35B-192C7EC61B72}"/>
            </c:ext>
          </c:extLst>
        </c:ser>
        <c:ser>
          <c:idx val="3"/>
          <c:order val="3"/>
          <c:tx>
            <c:strRef>
              <c:f>'DETAILED MODELLER - PERSON 1'!$G$97</c:f>
              <c:strCache>
                <c:ptCount val="1"/>
                <c:pt idx="0">
                  <c:v>ETHICAL 2 - BUY POWER</c:v>
                </c:pt>
              </c:strCache>
            </c:strRef>
          </c:tx>
          <c:spPr>
            <a:ln w="34925" cap="rnd">
              <a:solidFill>
                <a:schemeClr val="accent4"/>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1'!$G$98:$G$127</c:f>
              <c:numCache>
                <c:formatCode>"£"#,##0</c:formatCode>
                <c:ptCount val="30"/>
                <c:pt idx="1">
                  <c:v>14203.166759002766</c:v>
                </c:pt>
                <c:pt idx="2">
                  <c:v>13877.393221705785</c:v>
                </c:pt>
                <c:pt idx="3">
                  <c:v>13521.673806388721</c:v>
                </c:pt>
                <c:pt idx="4">
                  <c:v>13520.328258603357</c:v>
                </c:pt>
                <c:pt idx="5">
                  <c:v>13515.951926440088</c:v>
                </c:pt>
                <c:pt idx="6">
                  <c:v>13508.45099350511</c:v>
                </c:pt>
                <c:pt idx="7">
                  <c:v>13497.729400121571</c:v>
                </c:pt>
                <c:pt idx="8">
                  <c:v>13483.688794408085</c:v>
                </c:pt>
                <c:pt idx="9">
                  <c:v>13466.228482333994</c:v>
                </c:pt>
                <c:pt idx="10">
                  <c:v>13445.245376730418</c:v>
                </c:pt>
                <c:pt idx="11">
                  <c:v>13420.633945235691</c:v>
                </c:pt>
                <c:pt idx="12">
                  <c:v>13392.286157153376</c:v>
                </c:pt>
                <c:pt idx="13">
                  <c:v>13360.091429200609</c:v>
                </c:pt>
                <c:pt idx="14">
                  <c:v>13323.936570124046</c:v>
                </c:pt>
                <c:pt idx="15">
                  <c:v>13283.705724160227</c:v>
                </c:pt>
                <c:pt idx="16">
                  <c:v>13239.280313316765</c:v>
                </c:pt>
                <c:pt idx="17">
                  <c:v>13190.538978450193</c:v>
                </c:pt>
                <c:pt idx="18">
                  <c:v>13137.357519115874</c:v>
                </c:pt>
                <c:pt idx="19">
                  <c:v>13079.608832164889</c:v>
                </c:pt>
                <c:pt idx="20">
                  <c:v>13017.162849062246</c:v>
                </c:pt>
                <c:pt idx="21">
                  <c:v>12949.886471900361</c:v>
                </c:pt>
                <c:pt idx="22">
                  <c:v>12877.643508081022</c:v>
                </c:pt>
                <c:pt idx="23">
                  <c:v>12800.294603638773</c:v>
                </c:pt>
                <c:pt idx="24">
                  <c:v>12717.697175177847</c:v>
                </c:pt>
                <c:pt idx="25">
                  <c:v>12629.70534039443</c:v>
                </c:pt>
                <c:pt idx="26">
                  <c:v>12536.169847155335</c:v>
                </c:pt>
                <c:pt idx="27">
                  <c:v>12436.938001103572</c:v>
                </c:pt>
                <c:pt idx="28">
                  <c:v>12331.853591760824</c:v>
                </c:pt>
                <c:pt idx="29">
                  <c:v>12220.756817096142</c:v>
                </c:pt>
              </c:numCache>
            </c:numRef>
          </c:val>
          <c:smooth val="0"/>
          <c:extLst>
            <c:ext xmlns:c16="http://schemas.microsoft.com/office/drawing/2014/chart" uri="{C3380CC4-5D6E-409C-BE32-E72D297353CC}">
              <c16:uniqueId val="{00000003-46BC-A049-B35B-192C7EC61B72}"/>
            </c:ext>
          </c:extLst>
        </c:ser>
        <c:ser>
          <c:idx val="4"/>
          <c:order val="4"/>
          <c:tx>
            <c:strRef>
              <c:f>'DETAILED MODELLER - PERSON 1'!$H$97</c:f>
              <c:strCache>
                <c:ptCount val="1"/>
                <c:pt idx="0">
                  <c:v>ETHICAL 3 - BUY POWER</c:v>
                </c:pt>
              </c:strCache>
            </c:strRef>
          </c:tx>
          <c:spPr>
            <a:ln w="34925" cap="rnd">
              <a:solidFill>
                <a:schemeClr val="accent5"/>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1'!$H$98:$H$127</c:f>
              <c:numCache>
                <c:formatCode>"£"#,##0</c:formatCode>
                <c:ptCount val="30"/>
                <c:pt idx="1">
                  <c:v>14203.166759002766</c:v>
                </c:pt>
                <c:pt idx="2">
                  <c:v>13877.393221705785</c:v>
                </c:pt>
                <c:pt idx="3">
                  <c:v>13521.673806388721</c:v>
                </c:pt>
                <c:pt idx="4">
                  <c:v>13520.328258603357</c:v>
                </c:pt>
                <c:pt idx="5">
                  <c:v>13515.951926440088</c:v>
                </c:pt>
                <c:pt idx="6">
                  <c:v>13786.270964968888</c:v>
                </c:pt>
                <c:pt idx="7">
                  <c:v>13778.62001337521</c:v>
                </c:pt>
                <c:pt idx="8">
                  <c:v>13767.683988123998</c:v>
                </c:pt>
                <c:pt idx="9">
                  <c:v>14043.037667886481</c:v>
                </c:pt>
                <c:pt idx="10">
                  <c:v>14028.429821702171</c:v>
                </c:pt>
                <c:pt idx="11">
                  <c:v>14010.26411302029</c:v>
                </c:pt>
                <c:pt idx="12">
                  <c:v>14290.469395280696</c:v>
                </c:pt>
                <c:pt idx="13">
                  <c:v>14268.201955749337</c:v>
                </c:pt>
                <c:pt idx="14">
                  <c:v>14242.084107755676</c:v>
                </c:pt>
                <c:pt idx="15">
                  <c:v>14526.925789910794</c:v>
                </c:pt>
                <c:pt idx="16">
                  <c:v>14496.241232425633</c:v>
                </c:pt>
                <c:pt idx="17">
                  <c:v>14461.392623507109</c:v>
                </c:pt>
                <c:pt idx="18">
                  <c:v>14750.620475977252</c:v>
                </c:pt>
                <c:pt idx="19">
                  <c:v>14710.702590128418</c:v>
                </c:pt>
                <c:pt idx="20">
                  <c:v>14666.284485403266</c:v>
                </c:pt>
                <c:pt idx="21">
                  <c:v>14959.610175111331</c:v>
                </c:pt>
                <c:pt idx="22">
                  <c:v>14909.579946959067</c:v>
                </c:pt>
                <c:pt idx="23">
                  <c:v>14854.689287367575</c:v>
                </c:pt>
                <c:pt idx="24">
                  <c:v>15151.78307311493</c:v>
                </c:pt>
                <c:pt idx="25">
                  <c:v>15090.694292992921</c:v>
                </c:pt>
                <c:pt idx="26">
                  <c:v>15024.359203966753</c:v>
                </c:pt>
                <c:pt idx="27">
                  <c:v>15324.846388046088</c:v>
                </c:pt>
                <c:pt idx="28">
                  <c:v>15251.680966137967</c:v>
                </c:pt>
                <c:pt idx="29">
                  <c:v>15172.855967716398</c:v>
                </c:pt>
              </c:numCache>
            </c:numRef>
          </c:val>
          <c:smooth val="0"/>
          <c:extLst>
            <c:ext xmlns:c16="http://schemas.microsoft.com/office/drawing/2014/chart" uri="{C3380CC4-5D6E-409C-BE32-E72D297353CC}">
              <c16:uniqueId val="{00000004-46BC-A049-B35B-192C7EC61B72}"/>
            </c:ext>
          </c:extLst>
        </c:ser>
        <c:ser>
          <c:idx val="5"/>
          <c:order val="5"/>
          <c:tx>
            <c:strRef>
              <c:f>'DETAILED MODELLER - PERSON 1'!$I$97</c:f>
              <c:strCache>
                <c:ptCount val="1"/>
                <c:pt idx="0">
                  <c:v>ETHICAL 4 - BUY POWER</c:v>
                </c:pt>
              </c:strCache>
            </c:strRef>
          </c:tx>
          <c:spPr>
            <a:ln w="34925" cap="rnd">
              <a:solidFill>
                <a:schemeClr val="accent6"/>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1'!$I$98:$I$127</c:f>
              <c:numCache>
                <c:formatCode>"£"#,##0</c:formatCode>
                <c:ptCount val="30"/>
                <c:pt idx="1">
                  <c:v>14203.166759002766</c:v>
                </c:pt>
                <c:pt idx="2">
                  <c:v>13877.393221705785</c:v>
                </c:pt>
                <c:pt idx="3">
                  <c:v>13521.673806388721</c:v>
                </c:pt>
                <c:pt idx="4">
                  <c:v>13792.107282516492</c:v>
                </c:pt>
                <c:pt idx="5">
                  <c:v>14067.949428166819</c:v>
                </c:pt>
                <c:pt idx="6">
                  <c:v>14349.308416730157</c:v>
                </c:pt>
                <c:pt idx="7">
                  <c:v>14636.294585064759</c:v>
                </c:pt>
                <c:pt idx="8">
                  <c:v>14929.020476766051</c:v>
                </c:pt>
                <c:pt idx="9">
                  <c:v>15077.567884793909</c:v>
                </c:pt>
                <c:pt idx="10">
                  <c:v>15226.756781222073</c:v>
                </c:pt>
                <c:pt idx="11">
                  <c:v>15376.563827890699</c:v>
                </c:pt>
                <c:pt idx="12">
                  <c:v>15526.964658322064</c:v>
                </c:pt>
                <c:pt idx="13">
                  <c:v>15677.933848435361</c:v>
                </c:pt>
                <c:pt idx="14">
                  <c:v>15829.444886540361</c:v>
                </c:pt>
                <c:pt idx="15">
                  <c:v>15816.906500915884</c:v>
                </c:pt>
                <c:pt idx="16">
                  <c:v>15800.47962497341</c:v>
                </c:pt>
                <c:pt idx="17">
                  <c:v>15780.046282498832</c:v>
                </c:pt>
                <c:pt idx="18">
                  <c:v>15755.485693367154</c:v>
                </c:pt>
                <c:pt idx="19">
                  <c:v>15726.674212552625</c:v>
                </c:pt>
                <c:pt idx="20">
                  <c:v>15693.485267864795</c:v>
                </c:pt>
                <c:pt idx="21">
                  <c:v>15655.789296384413</c:v>
                </c:pt>
                <c:pt idx="22">
                  <c:v>15613.453679572533</c:v>
                </c:pt>
                <c:pt idx="23">
                  <c:v>15566.342677025714</c:v>
                </c:pt>
                <c:pt idx="24">
                  <c:v>15514.317358849592</c:v>
                </c:pt>
                <c:pt idx="25">
                  <c:v>15457.235536622546</c:v>
                </c:pt>
                <c:pt idx="26">
                  <c:v>15394.951692920706</c:v>
                </c:pt>
                <c:pt idx="27">
                  <c:v>15327.316909374767</c:v>
                </c:pt>
                <c:pt idx="28">
                  <c:v>15254.178793228704</c:v>
                </c:pt>
                <c:pt idx="29">
                  <c:v>14983.440919007935</c:v>
                </c:pt>
              </c:numCache>
            </c:numRef>
          </c:val>
          <c:smooth val="0"/>
          <c:extLst>
            <c:ext xmlns:c16="http://schemas.microsoft.com/office/drawing/2014/chart" uri="{C3380CC4-5D6E-409C-BE32-E72D297353CC}">
              <c16:uniqueId val="{00000005-46BC-A049-B35B-192C7EC61B72}"/>
            </c:ext>
          </c:extLst>
        </c:ser>
        <c:ser>
          <c:idx val="6"/>
          <c:order val="6"/>
          <c:tx>
            <c:strRef>
              <c:f>'DETAILED MODELLER - PERSON 1'!$J$97</c:f>
              <c:strCache>
                <c:ptCount val="1"/>
                <c:pt idx="0">
                  <c:v>RPI BASED PENSION VALUE(£)</c:v>
                </c:pt>
              </c:strCache>
            </c:strRef>
          </c:tx>
          <c:spPr>
            <a:ln w="41275" cap="rnd">
              <a:solidFill>
                <a:srgbClr val="00B050"/>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1'!$J$98:$J$127</c:f>
              <c:numCache>
                <c:formatCode>"£"#,##0</c:formatCode>
                <c:ptCount val="30"/>
                <c:pt idx="0">
                  <c:v>15390</c:v>
                </c:pt>
                <c:pt idx="1">
                  <c:v>16005.6</c:v>
                </c:pt>
                <c:pt idx="2">
                  <c:v>16412.142240000001</c:v>
                </c:pt>
                <c:pt idx="3">
                  <c:v>16853.628866256</c:v>
                </c:pt>
                <c:pt idx="4">
                  <c:v>17190.701443581122</c:v>
                </c:pt>
                <c:pt idx="5">
                  <c:v>17534.515472452746</c:v>
                </c:pt>
                <c:pt idx="6">
                  <c:v>17885.205781901801</c:v>
                </c:pt>
                <c:pt idx="7">
                  <c:v>18242.909897539837</c:v>
                </c:pt>
                <c:pt idx="8">
                  <c:v>18607.768095490635</c:v>
                </c:pt>
                <c:pt idx="9">
                  <c:v>18979.923457400448</c:v>
                </c:pt>
                <c:pt idx="10">
                  <c:v>19359.521926548456</c:v>
                </c:pt>
                <c:pt idx="11">
                  <c:v>19746.712365079424</c:v>
                </c:pt>
                <c:pt idx="12">
                  <c:v>20141.646612381013</c:v>
                </c:pt>
                <c:pt idx="13">
                  <c:v>20544.479544628633</c:v>
                </c:pt>
                <c:pt idx="14">
                  <c:v>20955.369135521207</c:v>
                </c:pt>
                <c:pt idx="15">
                  <c:v>21374.47651823163</c:v>
                </c:pt>
                <c:pt idx="16">
                  <c:v>21801.966048596263</c:v>
                </c:pt>
                <c:pt idx="17">
                  <c:v>22238.005369568189</c:v>
                </c:pt>
                <c:pt idx="18">
                  <c:v>22682.765476959554</c:v>
                </c:pt>
                <c:pt idx="19">
                  <c:v>23136.420786498744</c:v>
                </c:pt>
                <c:pt idx="20">
                  <c:v>23599.14920222872</c:v>
                </c:pt>
                <c:pt idx="21">
                  <c:v>24071.132186273295</c:v>
                </c:pt>
                <c:pt idx="22">
                  <c:v>24552.55482999876</c:v>
                </c:pt>
                <c:pt idx="23">
                  <c:v>25043.605926598735</c:v>
                </c:pt>
                <c:pt idx="24">
                  <c:v>25544.478045130709</c:v>
                </c:pt>
                <c:pt idx="25">
                  <c:v>26055.367606033324</c:v>
                </c:pt>
                <c:pt idx="26">
                  <c:v>26576.474958153991</c:v>
                </c:pt>
                <c:pt idx="27">
                  <c:v>27108.004457317071</c:v>
                </c:pt>
                <c:pt idx="28">
                  <c:v>27650.164546463413</c:v>
                </c:pt>
                <c:pt idx="29">
                  <c:v>28203.167837392681</c:v>
                </c:pt>
              </c:numCache>
            </c:numRef>
          </c:val>
          <c:smooth val="0"/>
          <c:extLst>
            <c:ext xmlns:c16="http://schemas.microsoft.com/office/drawing/2014/chart" uri="{C3380CC4-5D6E-409C-BE32-E72D297353CC}">
              <c16:uniqueId val="{00000006-46BC-A049-B35B-192C7EC61B72}"/>
            </c:ext>
          </c:extLst>
        </c:ser>
        <c:ser>
          <c:idx val="7"/>
          <c:order val="7"/>
          <c:tx>
            <c:strRef>
              <c:f>'DETAILED MODELLER - PERSON 1'!$K$97</c:f>
              <c:strCache>
                <c:ptCount val="1"/>
                <c:pt idx="0">
                  <c:v>CURRENT PENSION VALUE(£)</c:v>
                </c:pt>
              </c:strCache>
            </c:strRef>
          </c:tx>
          <c:spPr>
            <a:ln w="41275" cap="rnd">
              <a:solidFill>
                <a:schemeClr val="bg1"/>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1'!$K$98:$K$127</c:f>
              <c:numCache>
                <c:formatCode>"£"#,##0</c:formatCode>
                <c:ptCount val="30"/>
                <c:pt idx="0">
                  <c:v>15041.052631578947</c:v>
                </c:pt>
                <c:pt idx="1">
                  <c:v>15104.383379501383</c:v>
                </c:pt>
                <c:pt idx="2">
                  <c:v>15144.767730852893</c:v>
                </c:pt>
                <c:pt idx="3">
                  <c:v>15187.65133632236</c:v>
                </c:pt>
                <c:pt idx="4">
                  <c:v>15219.625339135671</c:v>
                </c:pt>
                <c:pt idx="5">
                  <c:v>15251.666655639116</c:v>
                </c:pt>
                <c:pt idx="6">
                  <c:v>15283.775427545725</c:v>
                </c:pt>
                <c:pt idx="7">
                  <c:v>15315.951796866873</c:v>
                </c:pt>
                <c:pt idx="8">
                  <c:v>15348.195905912909</c:v>
                </c:pt>
                <c:pt idx="9">
                  <c:v>15380.507897293779</c:v>
                </c:pt>
                <c:pt idx="10">
                  <c:v>15412.887913919662</c:v>
                </c:pt>
                <c:pt idx="11">
                  <c:v>15445.336099001597</c:v>
                </c:pt>
                <c:pt idx="12">
                  <c:v>15477.852596052127</c:v>
                </c:pt>
                <c:pt idx="13">
                  <c:v>15510.43754888592</c:v>
                </c:pt>
                <c:pt idx="14">
                  <c:v>15543.091101620417</c:v>
                </c:pt>
                <c:pt idx="15">
                  <c:v>15575.813398676461</c:v>
                </c:pt>
                <c:pt idx="16">
                  <c:v>15608.604584778937</c:v>
                </c:pt>
                <c:pt idx="17">
                  <c:v>15641.464804957419</c:v>
                </c:pt>
                <c:pt idx="18">
                  <c:v>15674.394204546803</c:v>
                </c:pt>
                <c:pt idx="19">
                  <c:v>15707.392929187954</c:v>
                </c:pt>
                <c:pt idx="20">
                  <c:v>15740.461124828349</c:v>
                </c:pt>
                <c:pt idx="21">
                  <c:v>15773.598937722725</c:v>
                </c:pt>
                <c:pt idx="22">
                  <c:v>15806.80651443372</c:v>
                </c:pt>
                <c:pt idx="23">
                  <c:v>15840.084001832527</c:v>
                </c:pt>
                <c:pt idx="24">
                  <c:v>15873.431547099543</c:v>
                </c:pt>
                <c:pt idx="25">
                  <c:v>15906.849297725015</c:v>
                </c:pt>
                <c:pt idx="26">
                  <c:v>15940.3374015097</c:v>
                </c:pt>
                <c:pt idx="27">
                  <c:v>15973.89600656551</c:v>
                </c:pt>
                <c:pt idx="28">
                  <c:v>16007.525261316174</c:v>
                </c:pt>
                <c:pt idx="29">
                  <c:v>16041.225314497891</c:v>
                </c:pt>
              </c:numCache>
            </c:numRef>
          </c:val>
          <c:smooth val="0"/>
          <c:extLst>
            <c:ext xmlns:c16="http://schemas.microsoft.com/office/drawing/2014/chart" uri="{C3380CC4-5D6E-409C-BE32-E72D297353CC}">
              <c16:uniqueId val="{00000001-0C7C-704A-BDB4-4F14C5A70B42}"/>
            </c:ext>
          </c:extLst>
        </c:ser>
        <c:dLbls>
          <c:showLegendKey val="0"/>
          <c:showVal val="0"/>
          <c:showCatName val="0"/>
          <c:showSerName val="0"/>
          <c:showPercent val="0"/>
          <c:showBubbleSize val="0"/>
        </c:dLbls>
        <c:smooth val="0"/>
        <c:axId val="273423983"/>
        <c:axId val="225143615"/>
      </c:lineChart>
      <c:catAx>
        <c:axId val="273423983"/>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25143615"/>
        <c:crosses val="autoZero"/>
        <c:auto val="1"/>
        <c:lblAlgn val="ctr"/>
        <c:lblOffset val="100"/>
        <c:noMultiLvlLbl val="0"/>
      </c:catAx>
      <c:valAx>
        <c:axId val="225143615"/>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US"/>
                  <a:t>Axis Title</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73423983"/>
        <c:crosses val="autoZero"/>
        <c:crossBetween val="between"/>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THIRTY YEAR VIEW FROM DATE OF RETIREMENT - </a:t>
            </a:r>
            <a:r>
              <a:rPr lang="en-US">
                <a:solidFill>
                  <a:srgbClr val="FFFF00"/>
                </a:solidFill>
              </a:rPr>
              <a:t>PERSON 1</a:t>
            </a:r>
          </a:p>
          <a:p>
            <a:pPr>
              <a:defRPr/>
            </a:pPr>
            <a:r>
              <a:rPr lang="en-US"/>
              <a:t>VALUE OF</a:t>
            </a:r>
            <a:r>
              <a:rPr lang="en-US" baseline="0"/>
              <a:t> </a:t>
            </a:r>
            <a:r>
              <a:rPr lang="en-US"/>
              <a:t>PENSION &amp; IT'S BUYING POWER CONTRASTED WITH A PENSION THAT RISES </a:t>
            </a:r>
            <a:r>
              <a:rPr lang="en-US" baseline="0"/>
              <a:t> WITH INFLATION</a:t>
            </a:r>
          </a:p>
          <a:p>
            <a:pPr>
              <a:defRPr/>
            </a:pPr>
            <a:endParaRPr lang="en-US"/>
          </a:p>
        </c:rich>
      </c:tx>
      <c:layout>
        <c:manualLayout>
          <c:xMode val="edge"/>
          <c:yMode val="edge"/>
          <c:x val="0.13791981312103796"/>
          <c:y val="2.0776237680809939E-2"/>
        </c:manualLayout>
      </c:layout>
      <c:overlay val="0"/>
      <c:spPr>
        <a:noFill/>
        <a:ln>
          <a:solidFill>
            <a:schemeClr val="bg1"/>
          </a:solid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9.9459235018240402E-2"/>
          <c:y val="2.1158645550292489E-2"/>
          <c:w val="0.85730831148801334"/>
          <c:h val="0.82071429337634483"/>
        </c:manualLayout>
      </c:layout>
      <c:lineChart>
        <c:grouping val="standard"/>
        <c:varyColors val="0"/>
        <c:ser>
          <c:idx val="0"/>
          <c:order val="0"/>
          <c:tx>
            <c:strRef>
              <c:f>'DETAILED MODELLER - PERSON 1'!$D$97</c:f>
              <c:strCache>
                <c:ptCount val="1"/>
                <c:pt idx="0">
                  <c:v>PENSION BUYING POWER</c:v>
                </c:pt>
              </c:strCache>
            </c:strRef>
          </c:tx>
          <c:spPr>
            <a:ln w="41275" cap="rnd">
              <a:solidFill>
                <a:srgbClr val="FF0000"/>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1'!$D$98:$D$127</c:f>
              <c:numCache>
                <c:formatCode>"£"#,##0</c:formatCode>
                <c:ptCount val="30"/>
                <c:pt idx="0">
                  <c:v>14692.105263157893</c:v>
                </c:pt>
                <c:pt idx="1">
                  <c:v>14203.166759002766</c:v>
                </c:pt>
                <c:pt idx="2">
                  <c:v>13877.393221705785</c:v>
                </c:pt>
                <c:pt idx="3">
                  <c:v>13521.673806388721</c:v>
                </c:pt>
                <c:pt idx="4">
                  <c:v>13248.549234690221</c:v>
                </c:pt>
                <c:pt idx="5">
                  <c:v>12968.817838825486</c:v>
                </c:pt>
                <c:pt idx="6">
                  <c:v>12682.345073189648</c:v>
                </c:pt>
                <c:pt idx="7">
                  <c:v>12388.993696193909</c:v>
                </c:pt>
                <c:pt idx="8">
                  <c:v>12088.623716335183</c:v>
                </c:pt>
                <c:pt idx="9">
                  <c:v>11781.09233718711</c:v>
                </c:pt>
                <c:pt idx="10">
                  <c:v>11466.253901290867</c:v>
                </c:pt>
                <c:pt idx="11">
                  <c:v>11143.959832923771</c:v>
                </c:pt>
                <c:pt idx="12">
                  <c:v>10814.058579723242</c:v>
                </c:pt>
                <c:pt idx="13">
                  <c:v>10476.395553143208</c:v>
                </c:pt>
                <c:pt idx="14">
                  <c:v>10130.813067719628</c:v>
                </c:pt>
                <c:pt idx="15">
                  <c:v>9777.1502791212915</c:v>
                </c:pt>
                <c:pt idx="16">
                  <c:v>9415.2431209616116</c:v>
                </c:pt>
                <c:pt idx="17">
                  <c:v>9044.9242403466487</c:v>
                </c:pt>
                <c:pt idx="18">
                  <c:v>8666.0229321340521</c:v>
                </c:pt>
                <c:pt idx="19">
                  <c:v>8278.3650718771642</c:v>
                </c:pt>
                <c:pt idx="20">
                  <c:v>7881.7730474279779</c:v>
                </c:pt>
                <c:pt idx="21">
                  <c:v>7476.0656891721555</c:v>
                </c:pt>
                <c:pt idx="22">
                  <c:v>7061.058198868679</c:v>
                </c:pt>
                <c:pt idx="23">
                  <c:v>6636.562077066319</c:v>
                </c:pt>
                <c:pt idx="24">
                  <c:v>6202.3850490683762</c:v>
                </c:pt>
                <c:pt idx="25">
                  <c:v>5758.3309894167069</c:v>
                </c:pt>
                <c:pt idx="26">
                  <c:v>5304.1998448654085</c:v>
                </c:pt>
                <c:pt idx="27">
                  <c:v>4839.7875558139494</c:v>
                </c:pt>
                <c:pt idx="28">
                  <c:v>4364.8859761689346</c:v>
                </c:pt>
                <c:pt idx="29">
                  <c:v>3879.2827916031019</c:v>
                </c:pt>
              </c:numCache>
            </c:numRef>
          </c:val>
          <c:smooth val="0"/>
          <c:extLst>
            <c:ext xmlns:c16="http://schemas.microsoft.com/office/drawing/2014/chart" uri="{C3380CC4-5D6E-409C-BE32-E72D297353CC}">
              <c16:uniqueId val="{00000000-65E4-784F-B69E-41ECBCB841C5}"/>
            </c:ext>
          </c:extLst>
        </c:ser>
        <c:ser>
          <c:idx val="6"/>
          <c:order val="1"/>
          <c:tx>
            <c:strRef>
              <c:f>'DETAILED MODELLER - PERSON 1'!$J$97</c:f>
              <c:strCache>
                <c:ptCount val="1"/>
                <c:pt idx="0">
                  <c:v>RPI BASED PENSION VALUE(£)</c:v>
                </c:pt>
              </c:strCache>
            </c:strRef>
          </c:tx>
          <c:spPr>
            <a:ln w="41275" cap="rnd">
              <a:solidFill>
                <a:srgbClr val="00B050"/>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1'!$J$98:$J$127</c:f>
              <c:numCache>
                <c:formatCode>"£"#,##0</c:formatCode>
                <c:ptCount val="30"/>
                <c:pt idx="0">
                  <c:v>15390</c:v>
                </c:pt>
                <c:pt idx="1">
                  <c:v>16005.6</c:v>
                </c:pt>
                <c:pt idx="2">
                  <c:v>16412.142240000001</c:v>
                </c:pt>
                <c:pt idx="3">
                  <c:v>16853.628866256</c:v>
                </c:pt>
                <c:pt idx="4">
                  <c:v>17190.701443581122</c:v>
                </c:pt>
                <c:pt idx="5">
                  <c:v>17534.515472452746</c:v>
                </c:pt>
                <c:pt idx="6">
                  <c:v>17885.205781901801</c:v>
                </c:pt>
                <c:pt idx="7">
                  <c:v>18242.909897539837</c:v>
                </c:pt>
                <c:pt idx="8">
                  <c:v>18607.768095490635</c:v>
                </c:pt>
                <c:pt idx="9">
                  <c:v>18979.923457400448</c:v>
                </c:pt>
                <c:pt idx="10">
                  <c:v>19359.521926548456</c:v>
                </c:pt>
                <c:pt idx="11">
                  <c:v>19746.712365079424</c:v>
                </c:pt>
                <c:pt idx="12">
                  <c:v>20141.646612381013</c:v>
                </c:pt>
                <c:pt idx="13">
                  <c:v>20544.479544628633</c:v>
                </c:pt>
                <c:pt idx="14">
                  <c:v>20955.369135521207</c:v>
                </c:pt>
                <c:pt idx="15">
                  <c:v>21374.47651823163</c:v>
                </c:pt>
                <c:pt idx="16">
                  <c:v>21801.966048596263</c:v>
                </c:pt>
                <c:pt idx="17">
                  <c:v>22238.005369568189</c:v>
                </c:pt>
                <c:pt idx="18">
                  <c:v>22682.765476959554</c:v>
                </c:pt>
                <c:pt idx="19">
                  <c:v>23136.420786498744</c:v>
                </c:pt>
                <c:pt idx="20">
                  <c:v>23599.14920222872</c:v>
                </c:pt>
                <c:pt idx="21">
                  <c:v>24071.132186273295</c:v>
                </c:pt>
                <c:pt idx="22">
                  <c:v>24552.55482999876</c:v>
                </c:pt>
                <c:pt idx="23">
                  <c:v>25043.605926598735</c:v>
                </c:pt>
                <c:pt idx="24">
                  <c:v>25544.478045130709</c:v>
                </c:pt>
                <c:pt idx="25">
                  <c:v>26055.367606033324</c:v>
                </c:pt>
                <c:pt idx="26">
                  <c:v>26576.474958153991</c:v>
                </c:pt>
                <c:pt idx="27">
                  <c:v>27108.004457317071</c:v>
                </c:pt>
                <c:pt idx="28">
                  <c:v>27650.164546463413</c:v>
                </c:pt>
                <c:pt idx="29">
                  <c:v>28203.167837392681</c:v>
                </c:pt>
              </c:numCache>
            </c:numRef>
          </c:val>
          <c:smooth val="0"/>
          <c:extLst>
            <c:ext xmlns:c16="http://schemas.microsoft.com/office/drawing/2014/chart" uri="{C3380CC4-5D6E-409C-BE32-E72D297353CC}">
              <c16:uniqueId val="{00000006-65E4-784F-B69E-41ECBCB841C5}"/>
            </c:ext>
          </c:extLst>
        </c:ser>
        <c:ser>
          <c:idx val="7"/>
          <c:order val="2"/>
          <c:tx>
            <c:strRef>
              <c:f>'DETAILED MODELLER - PERSON 1'!$K$97</c:f>
              <c:strCache>
                <c:ptCount val="1"/>
                <c:pt idx="0">
                  <c:v>CURRENT PENSION VALUE(£)</c:v>
                </c:pt>
              </c:strCache>
            </c:strRef>
          </c:tx>
          <c:spPr>
            <a:ln w="41275" cap="rnd">
              <a:solidFill>
                <a:schemeClr val="bg1"/>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1'!$K$98:$K$127</c:f>
              <c:numCache>
                <c:formatCode>"£"#,##0</c:formatCode>
                <c:ptCount val="30"/>
                <c:pt idx="0">
                  <c:v>15041.052631578947</c:v>
                </c:pt>
                <c:pt idx="1">
                  <c:v>15104.383379501383</c:v>
                </c:pt>
                <c:pt idx="2">
                  <c:v>15144.767730852893</c:v>
                </c:pt>
                <c:pt idx="3">
                  <c:v>15187.65133632236</c:v>
                </c:pt>
                <c:pt idx="4">
                  <c:v>15219.625339135671</c:v>
                </c:pt>
                <c:pt idx="5">
                  <c:v>15251.666655639116</c:v>
                </c:pt>
                <c:pt idx="6">
                  <c:v>15283.775427545725</c:v>
                </c:pt>
                <c:pt idx="7">
                  <c:v>15315.951796866873</c:v>
                </c:pt>
                <c:pt idx="8">
                  <c:v>15348.195905912909</c:v>
                </c:pt>
                <c:pt idx="9">
                  <c:v>15380.507897293779</c:v>
                </c:pt>
                <c:pt idx="10">
                  <c:v>15412.887913919662</c:v>
                </c:pt>
                <c:pt idx="11">
                  <c:v>15445.336099001597</c:v>
                </c:pt>
                <c:pt idx="12">
                  <c:v>15477.852596052127</c:v>
                </c:pt>
                <c:pt idx="13">
                  <c:v>15510.43754888592</c:v>
                </c:pt>
                <c:pt idx="14">
                  <c:v>15543.091101620417</c:v>
                </c:pt>
                <c:pt idx="15">
                  <c:v>15575.813398676461</c:v>
                </c:pt>
                <c:pt idx="16">
                  <c:v>15608.604584778937</c:v>
                </c:pt>
                <c:pt idx="17">
                  <c:v>15641.464804957419</c:v>
                </c:pt>
                <c:pt idx="18">
                  <c:v>15674.394204546803</c:v>
                </c:pt>
                <c:pt idx="19">
                  <c:v>15707.392929187954</c:v>
                </c:pt>
                <c:pt idx="20">
                  <c:v>15740.461124828349</c:v>
                </c:pt>
                <c:pt idx="21">
                  <c:v>15773.598937722725</c:v>
                </c:pt>
                <c:pt idx="22">
                  <c:v>15806.80651443372</c:v>
                </c:pt>
                <c:pt idx="23">
                  <c:v>15840.084001832527</c:v>
                </c:pt>
                <c:pt idx="24">
                  <c:v>15873.431547099543</c:v>
                </c:pt>
                <c:pt idx="25">
                  <c:v>15906.849297725015</c:v>
                </c:pt>
                <c:pt idx="26">
                  <c:v>15940.3374015097</c:v>
                </c:pt>
                <c:pt idx="27">
                  <c:v>15973.89600656551</c:v>
                </c:pt>
                <c:pt idx="28">
                  <c:v>16007.525261316174</c:v>
                </c:pt>
                <c:pt idx="29">
                  <c:v>16041.225314497891</c:v>
                </c:pt>
              </c:numCache>
            </c:numRef>
          </c:val>
          <c:smooth val="0"/>
          <c:extLst>
            <c:ext xmlns:c16="http://schemas.microsoft.com/office/drawing/2014/chart" uri="{C3380CC4-5D6E-409C-BE32-E72D297353CC}">
              <c16:uniqueId val="{00000007-65E4-784F-B69E-41ECBCB841C5}"/>
            </c:ext>
          </c:extLst>
        </c:ser>
        <c:dLbls>
          <c:showLegendKey val="0"/>
          <c:showVal val="0"/>
          <c:showCatName val="0"/>
          <c:showSerName val="0"/>
          <c:showPercent val="0"/>
          <c:showBubbleSize val="0"/>
        </c:dLbls>
        <c:smooth val="0"/>
        <c:axId val="273423983"/>
        <c:axId val="225143615"/>
      </c:lineChart>
      <c:catAx>
        <c:axId val="273423983"/>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25143615"/>
        <c:crosses val="autoZero"/>
        <c:auto val="1"/>
        <c:lblAlgn val="ctr"/>
        <c:lblOffset val="100"/>
        <c:noMultiLvlLbl val="0"/>
      </c:catAx>
      <c:valAx>
        <c:axId val="225143615"/>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US"/>
                  <a:t>Axis Title</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73423983"/>
        <c:crosses val="autoZero"/>
        <c:crossBetween val="between"/>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cap="none" baseline="0">
                <a:solidFill>
                  <a:schemeClr val="lt1">
                    <a:lumMod val="85000"/>
                  </a:schemeClr>
                </a:solidFill>
                <a:latin typeface="+mn-lt"/>
                <a:ea typeface="+mn-ea"/>
                <a:cs typeface="+mn-cs"/>
              </a:defRPr>
            </a:pPr>
            <a:r>
              <a:rPr lang="en-US" sz="2000"/>
              <a:t>RPI</a:t>
            </a:r>
            <a:r>
              <a:rPr lang="en-US" sz="2000" baseline="0"/>
              <a:t> levels and Discretionary Increases Granted - Historical Actuals and Future Projections- 1989 onwards over estimated total ifetime of the Digital  Pension</a:t>
            </a:r>
          </a:p>
        </c:rich>
      </c:tx>
      <c:overlay val="0"/>
      <c:spPr>
        <a:noFill/>
        <a:ln>
          <a:noFill/>
        </a:ln>
        <a:effectLst/>
      </c:spPr>
      <c:txPr>
        <a:bodyPr rot="0" spcFirstLastPara="1" vertOverflow="ellipsis" vert="horz" wrap="square" anchor="ctr" anchorCtr="1"/>
        <a:lstStyle/>
        <a:p>
          <a:pPr>
            <a:defRPr sz="2000" b="1" i="0" u="none" strike="noStrike" kern="1200" cap="none" baseline="0">
              <a:solidFill>
                <a:schemeClr val="lt1">
                  <a:lumMod val="85000"/>
                </a:schemeClr>
              </a:solidFill>
              <a:latin typeface="+mn-lt"/>
              <a:ea typeface="+mn-ea"/>
              <a:cs typeface="+mn-cs"/>
            </a:defRPr>
          </a:pPr>
          <a:endParaRPr lang="en-US"/>
        </a:p>
      </c:txPr>
    </c:title>
    <c:autoTitleDeleted val="0"/>
    <c:plotArea>
      <c:layout/>
      <c:lineChart>
        <c:grouping val="standard"/>
        <c:varyColors val="0"/>
        <c:ser>
          <c:idx val="0"/>
          <c:order val="0"/>
          <c:tx>
            <c:strRef>
              <c:f>'RPI &amp; Discretionary Comparison'!$B$5</c:f>
              <c:strCache>
                <c:ptCount val="1"/>
                <c:pt idx="0">
                  <c:v>RPI</c:v>
                </c:pt>
              </c:strCache>
            </c:strRef>
          </c:tx>
          <c:spPr>
            <a:ln w="22225" cap="rnd">
              <a:solidFill>
                <a:srgbClr val="92D050"/>
              </a:solidFill>
            </a:ln>
            <a:effectLst>
              <a:glow rad="139700">
                <a:schemeClr val="accent1">
                  <a:satMod val="175000"/>
                  <a:alpha val="14000"/>
                </a:schemeClr>
              </a:glow>
            </a:effectLst>
          </c:spPr>
          <c:marker>
            <c:symbol val="none"/>
          </c:marker>
          <c:cat>
            <c:numRef>
              <c:f>'RPI &amp; Discretionary Comparison'!$C$4:$BV$4</c:f>
              <c:numCache>
                <c:formatCode>General</c:formatCode>
                <c:ptCount val="72"/>
                <c:pt idx="0">
                  <c:v>89</c:v>
                </c:pt>
                <c:pt idx="1">
                  <c:v>90</c:v>
                </c:pt>
                <c:pt idx="2">
                  <c:v>91</c:v>
                </c:pt>
                <c:pt idx="3">
                  <c:v>92</c:v>
                </c:pt>
                <c:pt idx="4">
                  <c:v>93</c:v>
                </c:pt>
                <c:pt idx="5">
                  <c:v>94</c:v>
                </c:pt>
                <c:pt idx="6">
                  <c:v>95</c:v>
                </c:pt>
                <c:pt idx="7">
                  <c:v>96</c:v>
                </c:pt>
                <c:pt idx="8">
                  <c:v>97</c:v>
                </c:pt>
                <c:pt idx="9">
                  <c:v>98</c:v>
                </c:pt>
                <c:pt idx="10">
                  <c:v>99</c:v>
                </c:pt>
                <c:pt idx="11">
                  <c:v>2000</c:v>
                </c:pt>
                <c:pt idx="12">
                  <c:v>1</c:v>
                </c:pt>
                <c:pt idx="13">
                  <c:v>2</c:v>
                </c:pt>
                <c:pt idx="14">
                  <c:v>3</c:v>
                </c:pt>
                <c:pt idx="15">
                  <c:v>4</c:v>
                </c:pt>
                <c:pt idx="16">
                  <c:v>5</c:v>
                </c:pt>
                <c:pt idx="17">
                  <c:v>6</c:v>
                </c:pt>
                <c:pt idx="18">
                  <c:v>7</c:v>
                </c:pt>
                <c:pt idx="19">
                  <c:v>8</c:v>
                </c:pt>
                <c:pt idx="20">
                  <c:v>9</c:v>
                </c:pt>
                <c:pt idx="21">
                  <c:v>10</c:v>
                </c:pt>
                <c:pt idx="22">
                  <c:v>11</c:v>
                </c:pt>
                <c:pt idx="23">
                  <c:v>12</c:v>
                </c:pt>
                <c:pt idx="24">
                  <c:v>13</c:v>
                </c:pt>
                <c:pt idx="25">
                  <c:v>14</c:v>
                </c:pt>
                <c:pt idx="26">
                  <c:v>15</c:v>
                </c:pt>
                <c:pt idx="27">
                  <c:v>16</c:v>
                </c:pt>
                <c:pt idx="28">
                  <c:v>17</c:v>
                </c:pt>
                <c:pt idx="29">
                  <c:v>18</c:v>
                </c:pt>
                <c:pt idx="30">
                  <c:v>19</c:v>
                </c:pt>
                <c:pt idx="31">
                  <c:v>20</c:v>
                </c:pt>
                <c:pt idx="32">
                  <c:v>21</c:v>
                </c:pt>
                <c:pt idx="33">
                  <c:v>22</c:v>
                </c:pt>
                <c:pt idx="34">
                  <c:v>23</c:v>
                </c:pt>
                <c:pt idx="35">
                  <c:v>24</c:v>
                </c:pt>
                <c:pt idx="36">
                  <c:v>25</c:v>
                </c:pt>
                <c:pt idx="37">
                  <c:v>26</c:v>
                </c:pt>
                <c:pt idx="38">
                  <c:v>27</c:v>
                </c:pt>
                <c:pt idx="39">
                  <c:v>28</c:v>
                </c:pt>
                <c:pt idx="40">
                  <c:v>29</c:v>
                </c:pt>
                <c:pt idx="41">
                  <c:v>30</c:v>
                </c:pt>
                <c:pt idx="42">
                  <c:v>31</c:v>
                </c:pt>
                <c:pt idx="43">
                  <c:v>32</c:v>
                </c:pt>
                <c:pt idx="44">
                  <c:v>33</c:v>
                </c:pt>
                <c:pt idx="45">
                  <c:v>34</c:v>
                </c:pt>
                <c:pt idx="46">
                  <c:v>35</c:v>
                </c:pt>
                <c:pt idx="47">
                  <c:v>36</c:v>
                </c:pt>
                <c:pt idx="48">
                  <c:v>37</c:v>
                </c:pt>
                <c:pt idx="49">
                  <c:v>38</c:v>
                </c:pt>
                <c:pt idx="50">
                  <c:v>39</c:v>
                </c:pt>
                <c:pt idx="51">
                  <c:v>40</c:v>
                </c:pt>
                <c:pt idx="52">
                  <c:v>41</c:v>
                </c:pt>
                <c:pt idx="53">
                  <c:v>42</c:v>
                </c:pt>
                <c:pt idx="54">
                  <c:v>43</c:v>
                </c:pt>
                <c:pt idx="55">
                  <c:v>44</c:v>
                </c:pt>
                <c:pt idx="56">
                  <c:v>45</c:v>
                </c:pt>
                <c:pt idx="57">
                  <c:v>46</c:v>
                </c:pt>
                <c:pt idx="58">
                  <c:v>47</c:v>
                </c:pt>
                <c:pt idx="59">
                  <c:v>48</c:v>
                </c:pt>
                <c:pt idx="60">
                  <c:v>49</c:v>
                </c:pt>
                <c:pt idx="61">
                  <c:v>50</c:v>
                </c:pt>
                <c:pt idx="62">
                  <c:v>51</c:v>
                </c:pt>
                <c:pt idx="63">
                  <c:v>52</c:v>
                </c:pt>
                <c:pt idx="64">
                  <c:v>53</c:v>
                </c:pt>
                <c:pt idx="65">
                  <c:v>54</c:v>
                </c:pt>
                <c:pt idx="66">
                  <c:v>55</c:v>
                </c:pt>
                <c:pt idx="67">
                  <c:v>56</c:v>
                </c:pt>
                <c:pt idx="68">
                  <c:v>57</c:v>
                </c:pt>
                <c:pt idx="69">
                  <c:v>58</c:v>
                </c:pt>
                <c:pt idx="70">
                  <c:v>59</c:v>
                </c:pt>
                <c:pt idx="71">
                  <c:v>60</c:v>
                </c:pt>
              </c:numCache>
            </c:numRef>
          </c:cat>
          <c:val>
            <c:numRef>
              <c:f>'RPI &amp; Discretionary Comparison'!$C$5:$BV$5</c:f>
              <c:numCache>
                <c:formatCode>0.0%</c:formatCode>
                <c:ptCount val="72"/>
                <c:pt idx="0">
                  <c:v>7.0000000000000007E-2</c:v>
                </c:pt>
                <c:pt idx="1">
                  <c:v>5.8000000000000003E-2</c:v>
                </c:pt>
                <c:pt idx="2">
                  <c:v>0.1</c:v>
                </c:pt>
                <c:pt idx="3">
                  <c:v>4.1000000000000002E-2</c:v>
                </c:pt>
                <c:pt idx="4">
                  <c:v>1.7000000000000001E-2</c:v>
                </c:pt>
                <c:pt idx="5">
                  <c:v>1.2500000000000001E-2</c:v>
                </c:pt>
                <c:pt idx="6">
                  <c:v>0</c:v>
                </c:pt>
                <c:pt idx="7">
                  <c:v>0.03</c:v>
                </c:pt>
                <c:pt idx="8">
                  <c:v>2.8000000000000001E-2</c:v>
                </c:pt>
                <c:pt idx="9">
                  <c:v>3.3000000000000002E-2</c:v>
                </c:pt>
                <c:pt idx="10">
                  <c:v>2.4E-2</c:v>
                </c:pt>
                <c:pt idx="11">
                  <c:v>0.02</c:v>
                </c:pt>
                <c:pt idx="12">
                  <c:v>2.7E-2</c:v>
                </c:pt>
                <c:pt idx="13">
                  <c:v>1.2999999999999999E-2</c:v>
                </c:pt>
                <c:pt idx="14">
                  <c:v>2.9000000000000001E-2</c:v>
                </c:pt>
                <c:pt idx="15">
                  <c:v>2.5999999999999999E-2</c:v>
                </c:pt>
                <c:pt idx="16">
                  <c:v>3.2000000000000001E-2</c:v>
                </c:pt>
                <c:pt idx="17">
                  <c:v>2.4E-2</c:v>
                </c:pt>
                <c:pt idx="18">
                  <c:v>4.2000000000000003E-2</c:v>
                </c:pt>
                <c:pt idx="19">
                  <c:v>4.1000000000000002E-2</c:v>
                </c:pt>
                <c:pt idx="20">
                  <c:v>1E-3</c:v>
                </c:pt>
                <c:pt idx="21">
                  <c:v>3.6999999999999998E-2</c:v>
                </c:pt>
                <c:pt idx="22">
                  <c:v>5.1999999999999998E-2</c:v>
                </c:pt>
                <c:pt idx="23">
                  <c:v>3.9E-2</c:v>
                </c:pt>
                <c:pt idx="24">
                  <c:v>3.3000000000000002E-2</c:v>
                </c:pt>
                <c:pt idx="25">
                  <c:v>2.8000000000000001E-2</c:v>
                </c:pt>
                <c:pt idx="26">
                  <c:v>1.0999999999999999E-2</c:v>
                </c:pt>
                <c:pt idx="27">
                  <c:v>1.2999999999999999E-2</c:v>
                </c:pt>
                <c:pt idx="28">
                  <c:v>2.5999999999999999E-2</c:v>
                </c:pt>
                <c:pt idx="29">
                  <c:v>0.04</c:v>
                </c:pt>
                <c:pt idx="30">
                  <c:v>2.5399999999999999E-2</c:v>
                </c:pt>
                <c:pt idx="31">
                  <c:v>2.69E-2</c:v>
                </c:pt>
                <c:pt idx="32">
                  <c:v>0.02</c:v>
                </c:pt>
                <c:pt idx="33">
                  <c:v>0.02</c:v>
                </c:pt>
                <c:pt idx="34">
                  <c:v>0.02</c:v>
                </c:pt>
                <c:pt idx="35">
                  <c:v>0.02</c:v>
                </c:pt>
                <c:pt idx="36">
                  <c:v>0.02</c:v>
                </c:pt>
                <c:pt idx="37">
                  <c:v>0.02</c:v>
                </c:pt>
                <c:pt idx="38">
                  <c:v>0.02</c:v>
                </c:pt>
                <c:pt idx="39">
                  <c:v>0.02</c:v>
                </c:pt>
                <c:pt idx="40">
                  <c:v>0.02</c:v>
                </c:pt>
                <c:pt idx="41">
                  <c:v>0.02</c:v>
                </c:pt>
                <c:pt idx="42">
                  <c:v>0.02</c:v>
                </c:pt>
                <c:pt idx="43">
                  <c:v>0.02</c:v>
                </c:pt>
                <c:pt idx="44">
                  <c:v>0.02</c:v>
                </c:pt>
                <c:pt idx="45">
                  <c:v>0.02</c:v>
                </c:pt>
                <c:pt idx="46">
                  <c:v>0.02</c:v>
                </c:pt>
                <c:pt idx="47">
                  <c:v>0.02</c:v>
                </c:pt>
                <c:pt idx="48">
                  <c:v>0.02</c:v>
                </c:pt>
                <c:pt idx="49">
                  <c:v>0.02</c:v>
                </c:pt>
                <c:pt idx="50">
                  <c:v>0.02</c:v>
                </c:pt>
                <c:pt idx="51">
                  <c:v>0.02</c:v>
                </c:pt>
                <c:pt idx="52">
                  <c:v>0.02</c:v>
                </c:pt>
                <c:pt idx="53">
                  <c:v>0.02</c:v>
                </c:pt>
                <c:pt idx="54">
                  <c:v>0.02</c:v>
                </c:pt>
                <c:pt idx="55">
                  <c:v>0.02</c:v>
                </c:pt>
                <c:pt idx="56">
                  <c:v>0.02</c:v>
                </c:pt>
                <c:pt idx="57">
                  <c:v>0.02</c:v>
                </c:pt>
                <c:pt idx="58">
                  <c:v>0.02</c:v>
                </c:pt>
                <c:pt idx="59">
                  <c:v>0.02</c:v>
                </c:pt>
                <c:pt idx="60">
                  <c:v>0.02</c:v>
                </c:pt>
                <c:pt idx="61">
                  <c:v>0.02</c:v>
                </c:pt>
                <c:pt idx="62">
                  <c:v>0.02</c:v>
                </c:pt>
                <c:pt idx="63">
                  <c:v>0.02</c:v>
                </c:pt>
                <c:pt idx="64">
                  <c:v>0.02</c:v>
                </c:pt>
                <c:pt idx="65">
                  <c:v>0.02</c:v>
                </c:pt>
                <c:pt idx="66">
                  <c:v>0.02</c:v>
                </c:pt>
                <c:pt idx="67">
                  <c:v>0.02</c:v>
                </c:pt>
                <c:pt idx="68">
                  <c:v>0.02</c:v>
                </c:pt>
                <c:pt idx="69">
                  <c:v>0.02</c:v>
                </c:pt>
                <c:pt idx="70">
                  <c:v>0.02</c:v>
                </c:pt>
                <c:pt idx="71">
                  <c:v>0.02</c:v>
                </c:pt>
              </c:numCache>
            </c:numRef>
          </c:val>
          <c:smooth val="0"/>
          <c:extLst>
            <c:ext xmlns:c16="http://schemas.microsoft.com/office/drawing/2014/chart" uri="{C3380CC4-5D6E-409C-BE32-E72D297353CC}">
              <c16:uniqueId val="{00000000-2A84-4C48-84E2-B62C942A4EE2}"/>
            </c:ext>
          </c:extLst>
        </c:ser>
        <c:ser>
          <c:idx val="1"/>
          <c:order val="1"/>
          <c:tx>
            <c:strRef>
              <c:f>'RPI &amp; Discretionary Comparison'!$B$6</c:f>
              <c:strCache>
                <c:ptCount val="1"/>
                <c:pt idx="0">
                  <c:v>Discretion</c:v>
                </c:pt>
              </c:strCache>
            </c:strRef>
          </c:tx>
          <c:spPr>
            <a:ln w="22225" cap="rnd">
              <a:solidFill>
                <a:srgbClr val="FF0000"/>
              </a:solidFill>
            </a:ln>
            <a:effectLst>
              <a:glow rad="139700">
                <a:schemeClr val="accent2">
                  <a:satMod val="175000"/>
                  <a:alpha val="14000"/>
                </a:schemeClr>
              </a:glow>
            </a:effectLst>
          </c:spPr>
          <c:marker>
            <c:symbol val="none"/>
          </c:marker>
          <c:cat>
            <c:numRef>
              <c:f>'RPI &amp; Discretionary Comparison'!$C$4:$BV$4</c:f>
              <c:numCache>
                <c:formatCode>General</c:formatCode>
                <c:ptCount val="72"/>
                <c:pt idx="0">
                  <c:v>89</c:v>
                </c:pt>
                <c:pt idx="1">
                  <c:v>90</c:v>
                </c:pt>
                <c:pt idx="2">
                  <c:v>91</c:v>
                </c:pt>
                <c:pt idx="3">
                  <c:v>92</c:v>
                </c:pt>
                <c:pt idx="4">
                  <c:v>93</c:v>
                </c:pt>
                <c:pt idx="5">
                  <c:v>94</c:v>
                </c:pt>
                <c:pt idx="6">
                  <c:v>95</c:v>
                </c:pt>
                <c:pt idx="7">
                  <c:v>96</c:v>
                </c:pt>
                <c:pt idx="8">
                  <c:v>97</c:v>
                </c:pt>
                <c:pt idx="9">
                  <c:v>98</c:v>
                </c:pt>
                <c:pt idx="10">
                  <c:v>99</c:v>
                </c:pt>
                <c:pt idx="11">
                  <c:v>2000</c:v>
                </c:pt>
                <c:pt idx="12">
                  <c:v>1</c:v>
                </c:pt>
                <c:pt idx="13">
                  <c:v>2</c:v>
                </c:pt>
                <c:pt idx="14">
                  <c:v>3</c:v>
                </c:pt>
                <c:pt idx="15">
                  <c:v>4</c:v>
                </c:pt>
                <c:pt idx="16">
                  <c:v>5</c:v>
                </c:pt>
                <c:pt idx="17">
                  <c:v>6</c:v>
                </c:pt>
                <c:pt idx="18">
                  <c:v>7</c:v>
                </c:pt>
                <c:pt idx="19">
                  <c:v>8</c:v>
                </c:pt>
                <c:pt idx="20">
                  <c:v>9</c:v>
                </c:pt>
                <c:pt idx="21">
                  <c:v>10</c:v>
                </c:pt>
                <c:pt idx="22">
                  <c:v>11</c:v>
                </c:pt>
                <c:pt idx="23">
                  <c:v>12</c:v>
                </c:pt>
                <c:pt idx="24">
                  <c:v>13</c:v>
                </c:pt>
                <c:pt idx="25">
                  <c:v>14</c:v>
                </c:pt>
                <c:pt idx="26">
                  <c:v>15</c:v>
                </c:pt>
                <c:pt idx="27">
                  <c:v>16</c:v>
                </c:pt>
                <c:pt idx="28">
                  <c:v>17</c:v>
                </c:pt>
                <c:pt idx="29">
                  <c:v>18</c:v>
                </c:pt>
                <c:pt idx="30">
                  <c:v>19</c:v>
                </c:pt>
                <c:pt idx="31">
                  <c:v>20</c:v>
                </c:pt>
                <c:pt idx="32">
                  <c:v>21</c:v>
                </c:pt>
                <c:pt idx="33">
                  <c:v>22</c:v>
                </c:pt>
                <c:pt idx="34">
                  <c:v>23</c:v>
                </c:pt>
                <c:pt idx="35">
                  <c:v>24</c:v>
                </c:pt>
                <c:pt idx="36">
                  <c:v>25</c:v>
                </c:pt>
                <c:pt idx="37">
                  <c:v>26</c:v>
                </c:pt>
                <c:pt idx="38">
                  <c:v>27</c:v>
                </c:pt>
                <c:pt idx="39">
                  <c:v>28</c:v>
                </c:pt>
                <c:pt idx="40">
                  <c:v>29</c:v>
                </c:pt>
                <c:pt idx="41">
                  <c:v>30</c:v>
                </c:pt>
                <c:pt idx="42">
                  <c:v>31</c:v>
                </c:pt>
                <c:pt idx="43">
                  <c:v>32</c:v>
                </c:pt>
                <c:pt idx="44">
                  <c:v>33</c:v>
                </c:pt>
                <c:pt idx="45">
                  <c:v>34</c:v>
                </c:pt>
                <c:pt idx="46">
                  <c:v>35</c:v>
                </c:pt>
                <c:pt idx="47">
                  <c:v>36</c:v>
                </c:pt>
                <c:pt idx="48">
                  <c:v>37</c:v>
                </c:pt>
                <c:pt idx="49">
                  <c:v>38</c:v>
                </c:pt>
                <c:pt idx="50">
                  <c:v>39</c:v>
                </c:pt>
                <c:pt idx="51">
                  <c:v>40</c:v>
                </c:pt>
                <c:pt idx="52">
                  <c:v>41</c:v>
                </c:pt>
                <c:pt idx="53">
                  <c:v>42</c:v>
                </c:pt>
                <c:pt idx="54">
                  <c:v>43</c:v>
                </c:pt>
                <c:pt idx="55">
                  <c:v>44</c:v>
                </c:pt>
                <c:pt idx="56">
                  <c:v>45</c:v>
                </c:pt>
                <c:pt idx="57">
                  <c:v>46</c:v>
                </c:pt>
                <c:pt idx="58">
                  <c:v>47</c:v>
                </c:pt>
                <c:pt idx="59">
                  <c:v>48</c:v>
                </c:pt>
                <c:pt idx="60">
                  <c:v>49</c:v>
                </c:pt>
                <c:pt idx="61">
                  <c:v>50</c:v>
                </c:pt>
                <c:pt idx="62">
                  <c:v>51</c:v>
                </c:pt>
                <c:pt idx="63">
                  <c:v>52</c:v>
                </c:pt>
                <c:pt idx="64">
                  <c:v>53</c:v>
                </c:pt>
                <c:pt idx="65">
                  <c:v>54</c:v>
                </c:pt>
                <c:pt idx="66">
                  <c:v>55</c:v>
                </c:pt>
                <c:pt idx="67">
                  <c:v>56</c:v>
                </c:pt>
                <c:pt idx="68">
                  <c:v>57</c:v>
                </c:pt>
                <c:pt idx="69">
                  <c:v>58</c:v>
                </c:pt>
                <c:pt idx="70">
                  <c:v>59</c:v>
                </c:pt>
                <c:pt idx="71">
                  <c:v>60</c:v>
                </c:pt>
              </c:numCache>
            </c:numRef>
          </c:cat>
          <c:val>
            <c:numRef>
              <c:f>'RPI &amp; Discretionary Comparison'!$C$6:$BV$6</c:f>
              <c:numCache>
                <c:formatCode>0.0%</c:formatCode>
                <c:ptCount val="72"/>
                <c:pt idx="0">
                  <c:v>7.0000000000000007E-2</c:v>
                </c:pt>
                <c:pt idx="1">
                  <c:v>5.8000000000000003E-2</c:v>
                </c:pt>
                <c:pt idx="2">
                  <c:v>0.1</c:v>
                </c:pt>
                <c:pt idx="3">
                  <c:v>4.1000000000000002E-2</c:v>
                </c:pt>
                <c:pt idx="4">
                  <c:v>1.7000000000000001E-2</c:v>
                </c:pt>
                <c:pt idx="5">
                  <c:v>1.2500000000000001E-2</c:v>
                </c:pt>
                <c:pt idx="6">
                  <c:v>0</c:v>
                </c:pt>
                <c:pt idx="7">
                  <c:v>0.03</c:v>
                </c:pt>
                <c:pt idx="8">
                  <c:v>2.8000000000000001E-2</c:v>
                </c:pt>
                <c:pt idx="9">
                  <c:v>0</c:v>
                </c:pt>
                <c:pt idx="10">
                  <c:v>0.04</c:v>
                </c:pt>
                <c:pt idx="11">
                  <c:v>0.02</c:v>
                </c:pt>
                <c:pt idx="12">
                  <c:v>1.4999999999999999E-2</c:v>
                </c:pt>
                <c:pt idx="13">
                  <c:v>0</c:v>
                </c:pt>
                <c:pt idx="14">
                  <c:v>0</c:v>
                </c:pt>
                <c:pt idx="15">
                  <c:v>0.01</c:v>
                </c:pt>
                <c:pt idx="16">
                  <c:v>0</c:v>
                </c:pt>
                <c:pt idx="17">
                  <c:v>0</c:v>
                </c:pt>
                <c:pt idx="18">
                  <c:v>0</c:v>
                </c:pt>
                <c:pt idx="19">
                  <c:v>0.01</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numCache>
            </c:numRef>
          </c:val>
          <c:smooth val="0"/>
          <c:extLst>
            <c:ext xmlns:c16="http://schemas.microsoft.com/office/drawing/2014/chart" uri="{C3380CC4-5D6E-409C-BE32-E72D297353CC}">
              <c16:uniqueId val="{00000001-2A84-4C48-84E2-B62C942A4EE2}"/>
            </c:ext>
          </c:extLst>
        </c:ser>
        <c:dLbls>
          <c:showLegendKey val="0"/>
          <c:showVal val="0"/>
          <c:showCatName val="0"/>
          <c:showSerName val="0"/>
          <c:showPercent val="0"/>
          <c:showBubbleSize val="0"/>
        </c:dLbls>
        <c:smooth val="0"/>
        <c:axId val="387233008"/>
        <c:axId val="390046240"/>
      </c:lineChart>
      <c:catAx>
        <c:axId val="38723300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90046240"/>
        <c:crosses val="autoZero"/>
        <c:auto val="1"/>
        <c:lblAlgn val="ctr"/>
        <c:lblOffset val="100"/>
        <c:noMultiLvlLbl val="0"/>
      </c:catAx>
      <c:valAx>
        <c:axId val="390046240"/>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title>
          <c:tx>
            <c:rich>
              <a:bodyPr rot="-5400000" spcFirstLastPara="1" vertOverflow="ellipsis" vert="horz" wrap="square" anchor="ctr" anchorCtr="1"/>
              <a:lstStyle/>
              <a:p>
                <a:pPr>
                  <a:defRPr sz="2000" b="1" i="0" u="none" strike="noStrike" kern="1200" baseline="0">
                    <a:solidFill>
                      <a:schemeClr val="bg1"/>
                    </a:solidFill>
                    <a:latin typeface="+mn-lt"/>
                    <a:ea typeface="+mn-ea"/>
                    <a:cs typeface="+mn-cs"/>
                  </a:defRPr>
                </a:pPr>
                <a:r>
                  <a:rPr lang="en-US" sz="2000">
                    <a:solidFill>
                      <a:schemeClr val="bg1"/>
                    </a:solidFill>
                  </a:rPr>
                  <a:t>RPI</a:t>
                </a:r>
                <a:r>
                  <a:rPr lang="en-US" sz="2000" baseline="0">
                    <a:solidFill>
                      <a:schemeClr val="bg1"/>
                    </a:solidFill>
                  </a:rPr>
                  <a:t> &amp; Discretionary Increases %</a:t>
                </a:r>
                <a:endParaRPr lang="en-US" sz="2000">
                  <a:solidFill>
                    <a:schemeClr val="bg1"/>
                  </a:solidFill>
                </a:endParaRPr>
              </a:p>
            </c:rich>
          </c:tx>
          <c:overlay val="0"/>
          <c:spPr>
            <a:noFill/>
            <a:ln>
              <a:noFill/>
            </a:ln>
            <a:effectLst/>
          </c:spPr>
          <c:txPr>
            <a:bodyPr rot="-540000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bg1"/>
                </a:solidFill>
                <a:latin typeface="+mn-lt"/>
                <a:ea typeface="+mn-ea"/>
                <a:cs typeface="+mn-cs"/>
              </a:defRPr>
            </a:pPr>
            <a:endParaRPr lang="en-US"/>
          </a:p>
        </c:txPr>
        <c:crossAx val="387233008"/>
        <c:crosses val="autoZero"/>
        <c:crossBetween val="between"/>
      </c:valAx>
      <c:dTable>
        <c:showHorzBorder val="1"/>
        <c:showVertBorder val="1"/>
        <c:showOutline val="1"/>
        <c:showKeys val="1"/>
        <c:spPr>
          <a:noFill/>
          <a:ln w="9525">
            <a:solidFill>
              <a:schemeClr val="dk1">
                <a:lumMod val="50000"/>
                <a:lumOff val="50000"/>
              </a:schemeClr>
            </a:solidFill>
          </a:ln>
          <a:effectLst/>
        </c:spPr>
        <c:txPr>
          <a:bodyPr rot="0" spcFirstLastPara="1" vertOverflow="ellipsis" vert="horz" wrap="square" anchor="ctr" anchorCtr="1"/>
          <a:lstStyle/>
          <a:p>
            <a:pPr rtl="0">
              <a:defRPr sz="900" b="0" i="0" u="none" strike="noStrike" kern="1200" baseline="0">
                <a:solidFill>
                  <a:schemeClr val="lt1">
                    <a:lumMod val="75000"/>
                  </a:schemeClr>
                </a:solidFill>
                <a:latin typeface="+mn-lt"/>
                <a:ea typeface="+mn-ea"/>
                <a:cs typeface="+mn-cs"/>
              </a:defRPr>
            </a:pPr>
            <a:endParaRPr lang="en-US"/>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36">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xdr:col>
      <xdr:colOff>12700</xdr:colOff>
      <xdr:row>135</xdr:row>
      <xdr:rowOff>12699</xdr:rowOff>
    </xdr:from>
    <xdr:to>
      <xdr:col>22</xdr:col>
      <xdr:colOff>12700</xdr:colOff>
      <xdr:row>182</xdr:row>
      <xdr:rowOff>50800</xdr:rowOff>
    </xdr:to>
    <xdr:graphicFrame macro="">
      <xdr:nvGraphicFramePr>
        <xdr:cNvPr id="2" name="Chart 1">
          <a:extLst>
            <a:ext uri="{FF2B5EF4-FFF2-40B4-BE49-F238E27FC236}">
              <a16:creationId xmlns:a16="http://schemas.microsoft.com/office/drawing/2014/main" id="{72701961-7F07-4C4B-9477-4CE5200FF1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90</xdr:row>
      <xdr:rowOff>12700</xdr:rowOff>
    </xdr:from>
    <xdr:to>
      <xdr:col>22</xdr:col>
      <xdr:colOff>12700</xdr:colOff>
      <xdr:row>134</xdr:row>
      <xdr:rowOff>63500</xdr:rowOff>
    </xdr:to>
    <xdr:graphicFrame macro="">
      <xdr:nvGraphicFramePr>
        <xdr:cNvPr id="3" name="Chart 2">
          <a:extLst>
            <a:ext uri="{FF2B5EF4-FFF2-40B4-BE49-F238E27FC236}">
              <a16:creationId xmlns:a16="http://schemas.microsoft.com/office/drawing/2014/main" id="{4B3CBA2F-C7A2-C74B-8710-57F44E7895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43745</xdr:colOff>
      <xdr:row>1</xdr:row>
      <xdr:rowOff>177800</xdr:rowOff>
    </xdr:from>
    <xdr:to>
      <xdr:col>22</xdr:col>
      <xdr:colOff>12700</xdr:colOff>
      <xdr:row>41</xdr:row>
      <xdr:rowOff>0</xdr:rowOff>
    </xdr:to>
    <xdr:graphicFrame macro="">
      <xdr:nvGraphicFramePr>
        <xdr:cNvPr id="4" name="Chart 3">
          <a:extLst>
            <a:ext uri="{FF2B5EF4-FFF2-40B4-BE49-F238E27FC236}">
              <a16:creationId xmlns:a16="http://schemas.microsoft.com/office/drawing/2014/main" id="{4E9C2229-BC8E-7044-BF29-C2FE4EA708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25400</xdr:colOff>
      <xdr:row>42</xdr:row>
      <xdr:rowOff>0</xdr:rowOff>
    </xdr:from>
    <xdr:to>
      <xdr:col>22</xdr:col>
      <xdr:colOff>25400</xdr:colOff>
      <xdr:row>89</xdr:row>
      <xdr:rowOff>38101</xdr:rowOff>
    </xdr:to>
    <xdr:graphicFrame macro="">
      <xdr:nvGraphicFramePr>
        <xdr:cNvPr id="6" name="Chart 5">
          <a:extLst>
            <a:ext uri="{FF2B5EF4-FFF2-40B4-BE49-F238E27FC236}">
              <a16:creationId xmlns:a16="http://schemas.microsoft.com/office/drawing/2014/main" id="{59DD9D09-D93E-AC44-A556-0AFE28FB8A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21</xdr:col>
      <xdr:colOff>736943</xdr:colOff>
      <xdr:row>150</xdr:row>
      <xdr:rowOff>18494</xdr:rowOff>
    </xdr:from>
    <xdr:to>
      <xdr:col>50</xdr:col>
      <xdr:colOff>0</xdr:colOff>
      <xdr:row>198</xdr:row>
      <xdr:rowOff>105833</xdr:rowOff>
    </xdr:to>
    <xdr:graphicFrame macro="">
      <xdr:nvGraphicFramePr>
        <xdr:cNvPr id="6" name="Chart 5">
          <a:extLst>
            <a:ext uri="{FF2B5EF4-FFF2-40B4-BE49-F238E27FC236}">
              <a16:creationId xmlns:a16="http://schemas.microsoft.com/office/drawing/2014/main" id="{1636AF18-EF07-D64C-88AE-72EC755611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30343</xdr:colOff>
      <xdr:row>104</xdr:row>
      <xdr:rowOff>189852</xdr:rowOff>
    </xdr:from>
    <xdr:to>
      <xdr:col>49</xdr:col>
      <xdr:colOff>219461</xdr:colOff>
      <xdr:row>148</xdr:row>
      <xdr:rowOff>141261</xdr:rowOff>
    </xdr:to>
    <xdr:graphicFrame macro="">
      <xdr:nvGraphicFramePr>
        <xdr:cNvPr id="4" name="Chart 3">
          <a:extLst>
            <a:ext uri="{FF2B5EF4-FFF2-40B4-BE49-F238E27FC236}">
              <a16:creationId xmlns:a16="http://schemas.microsoft.com/office/drawing/2014/main" id="{C61F8B2E-D1F3-2D48-8073-9EA6313FC0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13805</xdr:colOff>
      <xdr:row>62</xdr:row>
      <xdr:rowOff>17485</xdr:rowOff>
    </xdr:from>
    <xdr:to>
      <xdr:col>49</xdr:col>
      <xdr:colOff>224090</xdr:colOff>
      <xdr:row>104</xdr:row>
      <xdr:rowOff>106016</xdr:rowOff>
    </xdr:to>
    <xdr:graphicFrame macro="">
      <xdr:nvGraphicFramePr>
        <xdr:cNvPr id="5" name="Chart 4">
          <a:extLst>
            <a:ext uri="{FF2B5EF4-FFF2-40B4-BE49-F238E27FC236}">
              <a16:creationId xmlns:a16="http://schemas.microsoft.com/office/drawing/2014/main" id="{806C59AE-43F9-9D43-9FF4-DE3D87F3B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1000125</xdr:colOff>
      <xdr:row>14</xdr:row>
      <xdr:rowOff>111125</xdr:rowOff>
    </xdr:from>
    <xdr:to>
      <xdr:col>49</xdr:col>
      <xdr:colOff>571501</xdr:colOff>
      <xdr:row>68</xdr:row>
      <xdr:rowOff>31750</xdr:rowOff>
    </xdr:to>
    <xdr:graphicFrame macro="">
      <xdr:nvGraphicFramePr>
        <xdr:cNvPr id="5" name="Chart 4">
          <a:extLst>
            <a:ext uri="{FF2B5EF4-FFF2-40B4-BE49-F238E27FC236}">
              <a16:creationId xmlns:a16="http://schemas.microsoft.com/office/drawing/2014/main" id="{A938DFE6-06FE-BA44-9D5F-311EC0C13D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123825</xdr:colOff>
      <xdr:row>20</xdr:row>
      <xdr:rowOff>120650</xdr:rowOff>
    </xdr:from>
    <xdr:to>
      <xdr:col>9</xdr:col>
      <xdr:colOff>123825</xdr:colOff>
      <xdr:row>64</xdr:row>
      <xdr:rowOff>146050</xdr:rowOff>
    </xdr:to>
    <xdr:cxnSp macro="">
      <xdr:nvCxnSpPr>
        <xdr:cNvPr id="7" name="Straight Connector 6">
          <a:extLst>
            <a:ext uri="{FF2B5EF4-FFF2-40B4-BE49-F238E27FC236}">
              <a16:creationId xmlns:a16="http://schemas.microsoft.com/office/drawing/2014/main" id="{77BBD629-2996-1941-913A-46006CD2D218}"/>
            </a:ext>
          </a:extLst>
        </xdr:cNvPr>
        <xdr:cNvCxnSpPr/>
      </xdr:nvCxnSpPr>
      <xdr:spPr>
        <a:xfrm flipV="1">
          <a:off x="6727825" y="4359275"/>
          <a:ext cx="0" cy="8407400"/>
        </a:xfrm>
        <a:prstGeom prst="line">
          <a:avLst/>
        </a:prstGeom>
        <a:ln w="25400">
          <a:solidFill>
            <a:schemeClr val="bg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371475</xdr:colOff>
      <xdr:row>20</xdr:row>
      <xdr:rowOff>149225</xdr:rowOff>
    </xdr:from>
    <xdr:to>
      <xdr:col>12</xdr:col>
      <xdr:colOff>384175</xdr:colOff>
      <xdr:row>64</xdr:row>
      <xdr:rowOff>174625</xdr:rowOff>
    </xdr:to>
    <xdr:cxnSp macro="">
      <xdr:nvCxnSpPr>
        <xdr:cNvPr id="8" name="Straight Connector 7">
          <a:extLst>
            <a:ext uri="{FF2B5EF4-FFF2-40B4-BE49-F238E27FC236}">
              <a16:creationId xmlns:a16="http://schemas.microsoft.com/office/drawing/2014/main" id="{938ACBB6-1F32-9940-875F-17B34EC6D12A}"/>
            </a:ext>
          </a:extLst>
        </xdr:cNvPr>
        <xdr:cNvCxnSpPr/>
      </xdr:nvCxnSpPr>
      <xdr:spPr>
        <a:xfrm flipV="1">
          <a:off x="8451850" y="4387850"/>
          <a:ext cx="12700" cy="8407400"/>
        </a:xfrm>
        <a:prstGeom prst="line">
          <a:avLst/>
        </a:prstGeom>
        <a:ln w="25400">
          <a:solidFill>
            <a:schemeClr val="bg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38100</xdr:colOff>
      <xdr:row>21</xdr:row>
      <xdr:rowOff>19050</xdr:rowOff>
    </xdr:from>
    <xdr:ext cx="952056" cy="374141"/>
    <xdr:sp macro="" textlink="">
      <xdr:nvSpPr>
        <xdr:cNvPr id="9" name="TextBox 8">
          <a:extLst>
            <a:ext uri="{FF2B5EF4-FFF2-40B4-BE49-F238E27FC236}">
              <a16:creationId xmlns:a16="http://schemas.microsoft.com/office/drawing/2014/main" id="{4D676081-67D9-3149-AE5A-728B74FCDE5A}"/>
            </a:ext>
          </a:extLst>
        </xdr:cNvPr>
        <xdr:cNvSpPr txBox="1"/>
      </xdr:nvSpPr>
      <xdr:spPr>
        <a:xfrm>
          <a:off x="5689600" y="4448175"/>
          <a:ext cx="9520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b="1">
              <a:solidFill>
                <a:schemeClr val="bg1"/>
              </a:solidFill>
            </a:rPr>
            <a:t>DIGITAL</a:t>
          </a:r>
        </a:p>
      </xdr:txBody>
    </xdr:sp>
    <xdr:clientData/>
  </xdr:oneCellAnchor>
  <xdr:oneCellAnchor>
    <xdr:from>
      <xdr:col>10</xdr:col>
      <xdr:colOff>9525</xdr:colOff>
      <xdr:row>21</xdr:row>
      <xdr:rowOff>22225</xdr:rowOff>
    </xdr:from>
    <xdr:ext cx="1085746" cy="374141"/>
    <xdr:sp macro="" textlink="">
      <xdr:nvSpPr>
        <xdr:cNvPr id="10" name="TextBox 9">
          <a:extLst>
            <a:ext uri="{FF2B5EF4-FFF2-40B4-BE49-F238E27FC236}">
              <a16:creationId xmlns:a16="http://schemas.microsoft.com/office/drawing/2014/main" id="{DD0EE868-24D0-9E41-8A54-20C975FAA5E2}"/>
            </a:ext>
          </a:extLst>
        </xdr:cNvPr>
        <xdr:cNvSpPr txBox="1"/>
      </xdr:nvSpPr>
      <xdr:spPr>
        <a:xfrm>
          <a:off x="7089775" y="4451350"/>
          <a:ext cx="108574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b="1">
              <a:solidFill>
                <a:schemeClr val="bg1"/>
              </a:solidFill>
            </a:rPr>
            <a:t>COMPAQ</a:t>
          </a:r>
        </a:p>
      </xdr:txBody>
    </xdr:sp>
    <xdr:clientData/>
  </xdr:oneCellAnchor>
  <xdr:oneCellAnchor>
    <xdr:from>
      <xdr:col>13</xdr:col>
      <xdr:colOff>12700</xdr:colOff>
      <xdr:row>21</xdr:row>
      <xdr:rowOff>31750</xdr:rowOff>
    </xdr:from>
    <xdr:ext cx="2069413" cy="374141"/>
    <xdr:sp macro="" textlink="">
      <xdr:nvSpPr>
        <xdr:cNvPr id="13" name="TextBox 12">
          <a:extLst>
            <a:ext uri="{FF2B5EF4-FFF2-40B4-BE49-F238E27FC236}">
              <a16:creationId xmlns:a16="http://schemas.microsoft.com/office/drawing/2014/main" id="{469DA472-5AC3-0740-8A5B-0295BC6C05F1}"/>
            </a:ext>
          </a:extLst>
        </xdr:cNvPr>
        <xdr:cNvSpPr txBox="1"/>
      </xdr:nvSpPr>
      <xdr:spPr>
        <a:xfrm>
          <a:off x="8616950" y="4460875"/>
          <a:ext cx="2069413"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b="1">
              <a:solidFill>
                <a:schemeClr val="bg1"/>
              </a:solidFill>
            </a:rPr>
            <a:t>HEWLETT</a:t>
          </a:r>
          <a:r>
            <a:rPr lang="en-US" sz="1800" b="1" baseline="0">
              <a:solidFill>
                <a:schemeClr val="bg1"/>
              </a:solidFill>
            </a:rPr>
            <a:t> PACKARD</a:t>
          </a:r>
          <a:endParaRPr lang="en-US" sz="1800" b="1">
            <a:solidFill>
              <a:schemeClr val="bg1"/>
            </a:solidFill>
          </a:endParaRPr>
        </a:p>
      </xdr:txBody>
    </xdr:sp>
    <xdr:clientData/>
  </xdr:oneCellAnchor>
  <xdr:oneCellAnchor>
    <xdr:from>
      <xdr:col>13</xdr:col>
      <xdr:colOff>482600</xdr:colOff>
      <xdr:row>23</xdr:row>
      <xdr:rowOff>50800</xdr:rowOff>
    </xdr:from>
    <xdr:ext cx="1446293" cy="374141"/>
    <xdr:sp macro="" textlink="">
      <xdr:nvSpPr>
        <xdr:cNvPr id="14" name="TextBox 13">
          <a:extLst>
            <a:ext uri="{FF2B5EF4-FFF2-40B4-BE49-F238E27FC236}">
              <a16:creationId xmlns:a16="http://schemas.microsoft.com/office/drawing/2014/main" id="{5F2F90D9-9D85-9349-82D9-705EF8D80E74}"/>
            </a:ext>
          </a:extLst>
        </xdr:cNvPr>
        <xdr:cNvSpPr txBox="1"/>
      </xdr:nvSpPr>
      <xdr:spPr>
        <a:xfrm>
          <a:off x="9086850" y="4860925"/>
          <a:ext cx="1446293"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b="1">
              <a:solidFill>
                <a:schemeClr val="accent4">
                  <a:lumMod val="40000"/>
                  <a:lumOff val="60000"/>
                </a:schemeClr>
              </a:solidFill>
            </a:rPr>
            <a:t>Merger</a:t>
          </a:r>
          <a:r>
            <a:rPr lang="en-US" sz="1800" b="1" baseline="0">
              <a:solidFill>
                <a:schemeClr val="accent4">
                  <a:lumMod val="40000"/>
                  <a:lumOff val="60000"/>
                </a:schemeClr>
              </a:solidFill>
            </a:rPr>
            <a:t> Deed</a:t>
          </a:r>
          <a:endParaRPr lang="en-US" sz="1800" b="1">
            <a:solidFill>
              <a:schemeClr val="accent4">
                <a:lumMod val="40000"/>
                <a:lumOff val="60000"/>
              </a:schemeClr>
            </a:solidFill>
          </a:endParaRPr>
        </a:p>
      </xdr:txBody>
    </xdr:sp>
    <xdr:clientData/>
  </xdr:oneCellAnchor>
  <xdr:twoCellAnchor>
    <xdr:from>
      <xdr:col>15</xdr:col>
      <xdr:colOff>346075</xdr:colOff>
      <xdr:row>25</xdr:row>
      <xdr:rowOff>0</xdr:rowOff>
    </xdr:from>
    <xdr:to>
      <xdr:col>15</xdr:col>
      <xdr:colOff>358775</xdr:colOff>
      <xdr:row>65</xdr:row>
      <xdr:rowOff>50800</xdr:rowOff>
    </xdr:to>
    <xdr:cxnSp macro="">
      <xdr:nvCxnSpPr>
        <xdr:cNvPr id="15" name="Straight Connector 14">
          <a:extLst>
            <a:ext uri="{FF2B5EF4-FFF2-40B4-BE49-F238E27FC236}">
              <a16:creationId xmlns:a16="http://schemas.microsoft.com/office/drawing/2014/main" id="{13B8D3A1-9749-8248-9970-263C2C4A38F7}"/>
            </a:ext>
          </a:extLst>
        </xdr:cNvPr>
        <xdr:cNvCxnSpPr/>
      </xdr:nvCxnSpPr>
      <xdr:spPr>
        <a:xfrm flipV="1">
          <a:off x="9998075" y="5191125"/>
          <a:ext cx="12700" cy="7670800"/>
        </a:xfrm>
        <a:prstGeom prst="line">
          <a:avLst/>
        </a:prstGeom>
        <a:ln w="25400">
          <a:solidFill>
            <a:schemeClr val="accent4">
              <a:lumMod val="40000"/>
              <a:lumOff val="6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460375</xdr:colOff>
      <xdr:row>26</xdr:row>
      <xdr:rowOff>158750</xdr:rowOff>
    </xdr:from>
    <xdr:to>
      <xdr:col>24</xdr:col>
      <xdr:colOff>460376</xdr:colOff>
      <xdr:row>64</xdr:row>
      <xdr:rowOff>161925</xdr:rowOff>
    </xdr:to>
    <xdr:cxnSp macro="">
      <xdr:nvCxnSpPr>
        <xdr:cNvPr id="19" name="Straight Connector 18">
          <a:extLst>
            <a:ext uri="{FF2B5EF4-FFF2-40B4-BE49-F238E27FC236}">
              <a16:creationId xmlns:a16="http://schemas.microsoft.com/office/drawing/2014/main" id="{1F1D7AAA-E61A-6140-A25F-A4EDCC5650CC}"/>
            </a:ext>
          </a:extLst>
        </xdr:cNvPr>
        <xdr:cNvCxnSpPr/>
      </xdr:nvCxnSpPr>
      <xdr:spPr>
        <a:xfrm flipH="1" flipV="1">
          <a:off x="15398750" y="5540375"/>
          <a:ext cx="1" cy="7242175"/>
        </a:xfrm>
        <a:prstGeom prst="line">
          <a:avLst/>
        </a:prstGeom>
        <a:ln w="25400">
          <a:solidFill>
            <a:schemeClr val="accent1">
              <a:lumMod val="20000"/>
              <a:lumOff val="8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47625</xdr:colOff>
      <xdr:row>26</xdr:row>
      <xdr:rowOff>174625</xdr:rowOff>
    </xdr:from>
    <xdr:to>
      <xdr:col>24</xdr:col>
      <xdr:colOff>381000</xdr:colOff>
      <xdr:row>27</xdr:row>
      <xdr:rowOff>0</xdr:rowOff>
    </xdr:to>
    <xdr:cxnSp macro="">
      <xdr:nvCxnSpPr>
        <xdr:cNvPr id="29" name="Straight Arrow Connector 28">
          <a:extLst>
            <a:ext uri="{FF2B5EF4-FFF2-40B4-BE49-F238E27FC236}">
              <a16:creationId xmlns:a16="http://schemas.microsoft.com/office/drawing/2014/main" id="{D3CBE681-A73F-2747-B8B0-406B98336EFB}"/>
            </a:ext>
          </a:extLst>
        </xdr:cNvPr>
        <xdr:cNvCxnSpPr/>
      </xdr:nvCxnSpPr>
      <xdr:spPr>
        <a:xfrm>
          <a:off x="3698875" y="5556250"/>
          <a:ext cx="11620500" cy="15875"/>
        </a:xfrm>
        <a:prstGeom prst="straightConnector1">
          <a:avLst/>
        </a:prstGeom>
        <a:ln w="19050">
          <a:solidFill>
            <a:schemeClr val="accent1">
              <a:lumMod val="40000"/>
              <a:lumOff val="60000"/>
            </a:schemeClr>
          </a:solidFill>
          <a:prstDash val="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485775</xdr:colOff>
      <xdr:row>26</xdr:row>
      <xdr:rowOff>174625</xdr:rowOff>
    </xdr:from>
    <xdr:to>
      <xdr:col>49</xdr:col>
      <xdr:colOff>428625</xdr:colOff>
      <xdr:row>26</xdr:row>
      <xdr:rowOff>187325</xdr:rowOff>
    </xdr:to>
    <xdr:cxnSp macro="">
      <xdr:nvCxnSpPr>
        <xdr:cNvPr id="30" name="Straight Arrow Connector 29">
          <a:extLst>
            <a:ext uri="{FF2B5EF4-FFF2-40B4-BE49-F238E27FC236}">
              <a16:creationId xmlns:a16="http://schemas.microsoft.com/office/drawing/2014/main" id="{9D571141-F14B-3E40-A442-B5909247E8AF}"/>
            </a:ext>
          </a:extLst>
        </xdr:cNvPr>
        <xdr:cNvCxnSpPr/>
      </xdr:nvCxnSpPr>
      <xdr:spPr>
        <a:xfrm flipV="1">
          <a:off x="15424150" y="5556250"/>
          <a:ext cx="15420975" cy="12700"/>
        </a:xfrm>
        <a:prstGeom prst="straightConnector1">
          <a:avLst/>
        </a:prstGeom>
        <a:ln w="19050">
          <a:solidFill>
            <a:schemeClr val="accent1">
              <a:lumMod val="40000"/>
              <a:lumOff val="60000"/>
            </a:schemeClr>
          </a:solidFill>
          <a:prstDash val="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396875</xdr:colOff>
      <xdr:row>57</xdr:row>
      <xdr:rowOff>31750</xdr:rowOff>
    </xdr:from>
    <xdr:ext cx="4445512" cy="405432"/>
    <xdr:sp macro="" textlink="">
      <xdr:nvSpPr>
        <xdr:cNvPr id="36" name="TextBox 35">
          <a:extLst>
            <a:ext uri="{FF2B5EF4-FFF2-40B4-BE49-F238E27FC236}">
              <a16:creationId xmlns:a16="http://schemas.microsoft.com/office/drawing/2014/main" id="{AC0A3E35-A5AC-824F-A467-6C5B33D3D034}"/>
            </a:ext>
          </a:extLst>
        </xdr:cNvPr>
        <xdr:cNvSpPr txBox="1"/>
      </xdr:nvSpPr>
      <xdr:spPr>
        <a:xfrm>
          <a:off x="19669125" y="11318875"/>
          <a:ext cx="4445512"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b="1">
              <a:solidFill>
                <a:schemeClr val="bg1"/>
              </a:solidFill>
            </a:rPr>
            <a:t>RPI</a:t>
          </a:r>
          <a:r>
            <a:rPr lang="en-US" sz="2000" b="1" baseline="0">
              <a:solidFill>
                <a:schemeClr val="bg1"/>
              </a:solidFill>
            </a:rPr>
            <a:t> Projection over future lifetimes : 2%</a:t>
          </a:r>
          <a:endParaRPr lang="en-US" sz="2000" b="1">
            <a:solidFill>
              <a:schemeClr val="bg1"/>
            </a:solidFill>
          </a:endParaRPr>
        </a:p>
      </xdr:txBody>
    </xdr:sp>
    <xdr:clientData/>
  </xdr:oneCellAnchor>
  <xdr:oneCellAnchor>
    <xdr:from>
      <xdr:col>31</xdr:col>
      <xdr:colOff>412750</xdr:colOff>
      <xdr:row>62</xdr:row>
      <xdr:rowOff>174625</xdr:rowOff>
    </xdr:from>
    <xdr:ext cx="8392297" cy="405432"/>
    <xdr:sp macro="" textlink="">
      <xdr:nvSpPr>
        <xdr:cNvPr id="37" name="TextBox 36">
          <a:extLst>
            <a:ext uri="{FF2B5EF4-FFF2-40B4-BE49-F238E27FC236}">
              <a16:creationId xmlns:a16="http://schemas.microsoft.com/office/drawing/2014/main" id="{652BD367-975E-BE44-88E9-1121AEE2221F}"/>
            </a:ext>
          </a:extLst>
        </xdr:cNvPr>
        <xdr:cNvSpPr txBox="1"/>
      </xdr:nvSpPr>
      <xdr:spPr>
        <a:xfrm>
          <a:off x="19685000" y="12414250"/>
          <a:ext cx="8392297"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b="1" baseline="0">
              <a:solidFill>
                <a:schemeClr val="bg1"/>
              </a:solidFill>
            </a:rPr>
            <a:t>Forecast of discretionary increase over future lifetimes of all pensioners  - 0%</a:t>
          </a:r>
          <a:endParaRPr lang="en-US" sz="2000" b="1">
            <a:solidFill>
              <a:schemeClr val="bg1"/>
            </a:solidFill>
          </a:endParaRPr>
        </a:p>
      </xdr:txBody>
    </xdr:sp>
    <xdr:clientData/>
  </xdr:oneCellAnchor>
  <xdr:oneCellAnchor>
    <xdr:from>
      <xdr:col>13</xdr:col>
      <xdr:colOff>269875</xdr:colOff>
      <xdr:row>58</xdr:row>
      <xdr:rowOff>158750</xdr:rowOff>
    </xdr:from>
    <xdr:ext cx="9539984" cy="405432"/>
    <xdr:sp macro="" textlink="">
      <xdr:nvSpPr>
        <xdr:cNvPr id="38" name="TextBox 37">
          <a:extLst>
            <a:ext uri="{FF2B5EF4-FFF2-40B4-BE49-F238E27FC236}">
              <a16:creationId xmlns:a16="http://schemas.microsoft.com/office/drawing/2014/main" id="{0936D288-F74D-AF46-9D2F-75FE55E1BCA1}"/>
            </a:ext>
          </a:extLst>
        </xdr:cNvPr>
        <xdr:cNvSpPr txBox="1"/>
      </xdr:nvSpPr>
      <xdr:spPr>
        <a:xfrm>
          <a:off x="8874125" y="11636375"/>
          <a:ext cx="9539984"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b="1" baseline="0">
              <a:solidFill>
                <a:schemeClr val="bg1"/>
              </a:solidFill>
            </a:rPr>
            <a:t>No communicated strategy, policy or intention relating to future discretionary increases</a:t>
          </a:r>
          <a:endParaRPr lang="en-US" sz="2000" b="1">
            <a:solidFill>
              <a:schemeClr val="bg1"/>
            </a:solidFill>
          </a:endParaRPr>
        </a:p>
      </xdr:txBody>
    </xdr:sp>
    <xdr:clientData/>
  </xdr:oneCellAnchor>
  <xdr:oneCellAnchor>
    <xdr:from>
      <xdr:col>8</xdr:col>
      <xdr:colOff>127001</xdr:colOff>
      <xdr:row>29</xdr:row>
      <xdr:rowOff>158749</xdr:rowOff>
    </xdr:from>
    <xdr:ext cx="889000" cy="342786"/>
    <xdr:sp macro="" textlink="">
      <xdr:nvSpPr>
        <xdr:cNvPr id="45" name="TextBox 44">
          <a:extLst>
            <a:ext uri="{FF2B5EF4-FFF2-40B4-BE49-F238E27FC236}">
              <a16:creationId xmlns:a16="http://schemas.microsoft.com/office/drawing/2014/main" id="{B0436597-1916-6841-B831-F701496A783C}"/>
            </a:ext>
          </a:extLst>
        </xdr:cNvPr>
        <xdr:cNvSpPr txBox="1"/>
      </xdr:nvSpPr>
      <xdr:spPr>
        <a:xfrm>
          <a:off x="6254751" y="6111874"/>
          <a:ext cx="889000" cy="342786"/>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600" b="1" baseline="0">
              <a:solidFill>
                <a:srgbClr val="C00000"/>
              </a:solidFill>
            </a:rPr>
            <a:t>-3.3%</a:t>
          </a:r>
          <a:endParaRPr lang="en-US" sz="1600" b="1">
            <a:solidFill>
              <a:srgbClr val="C00000"/>
            </a:solidFill>
          </a:endParaRPr>
        </a:p>
      </xdr:txBody>
    </xdr:sp>
    <xdr:clientData/>
  </xdr:oneCellAnchor>
  <xdr:oneCellAnchor>
    <xdr:from>
      <xdr:col>11</xdr:col>
      <xdr:colOff>444500</xdr:colOff>
      <xdr:row>29</xdr:row>
      <xdr:rowOff>158750</xdr:rowOff>
    </xdr:from>
    <xdr:ext cx="889000" cy="342786"/>
    <xdr:sp macro="" textlink="">
      <xdr:nvSpPr>
        <xdr:cNvPr id="46" name="TextBox 45">
          <a:extLst>
            <a:ext uri="{FF2B5EF4-FFF2-40B4-BE49-F238E27FC236}">
              <a16:creationId xmlns:a16="http://schemas.microsoft.com/office/drawing/2014/main" id="{D6CAC13D-7FE8-6146-A3C2-E8A68B7CF024}"/>
            </a:ext>
          </a:extLst>
        </xdr:cNvPr>
        <xdr:cNvSpPr txBox="1"/>
      </xdr:nvSpPr>
      <xdr:spPr>
        <a:xfrm>
          <a:off x="8001000" y="6111875"/>
          <a:ext cx="889000" cy="342786"/>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600" b="1" baseline="0">
              <a:solidFill>
                <a:srgbClr val="C00000"/>
              </a:solidFill>
            </a:rPr>
            <a:t>-0.9%</a:t>
          </a:r>
          <a:endParaRPr lang="en-US" sz="1600" b="1">
            <a:solidFill>
              <a:srgbClr val="C00000"/>
            </a:solidFill>
          </a:endParaRPr>
        </a:p>
      </xdr:txBody>
    </xdr:sp>
    <xdr:clientData/>
  </xdr:oneCellAnchor>
  <xdr:oneCellAnchor>
    <xdr:from>
      <xdr:col>14</xdr:col>
      <xdr:colOff>412750</xdr:colOff>
      <xdr:row>29</xdr:row>
      <xdr:rowOff>174625</xdr:rowOff>
    </xdr:from>
    <xdr:ext cx="889000" cy="342786"/>
    <xdr:sp macro="" textlink="">
      <xdr:nvSpPr>
        <xdr:cNvPr id="47" name="TextBox 46">
          <a:extLst>
            <a:ext uri="{FF2B5EF4-FFF2-40B4-BE49-F238E27FC236}">
              <a16:creationId xmlns:a16="http://schemas.microsoft.com/office/drawing/2014/main" id="{8087DC9C-2117-6C43-93E7-AFF560721235}"/>
            </a:ext>
          </a:extLst>
        </xdr:cNvPr>
        <xdr:cNvSpPr txBox="1"/>
      </xdr:nvSpPr>
      <xdr:spPr>
        <a:xfrm>
          <a:off x="9540875" y="6127750"/>
          <a:ext cx="889000" cy="342786"/>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600" b="1" baseline="0">
              <a:solidFill>
                <a:srgbClr val="C00000"/>
              </a:solidFill>
            </a:rPr>
            <a:t>-10.1%</a:t>
          </a:r>
          <a:endParaRPr lang="en-US" sz="1600" b="1">
            <a:solidFill>
              <a:srgbClr val="C00000"/>
            </a:solidFill>
          </a:endParaRPr>
        </a:p>
      </xdr:txBody>
    </xdr:sp>
    <xdr:clientData/>
  </xdr:oneCellAnchor>
  <xdr:oneCellAnchor>
    <xdr:from>
      <xdr:col>24</xdr:col>
      <xdr:colOff>15875</xdr:colOff>
      <xdr:row>29</xdr:row>
      <xdr:rowOff>158750</xdr:rowOff>
    </xdr:from>
    <xdr:ext cx="889000" cy="342786"/>
    <xdr:sp macro="" textlink="">
      <xdr:nvSpPr>
        <xdr:cNvPr id="48" name="TextBox 47">
          <a:extLst>
            <a:ext uri="{FF2B5EF4-FFF2-40B4-BE49-F238E27FC236}">
              <a16:creationId xmlns:a16="http://schemas.microsoft.com/office/drawing/2014/main" id="{DC1BFE80-30B3-1647-A8B2-1136548FF428}"/>
            </a:ext>
          </a:extLst>
        </xdr:cNvPr>
        <xdr:cNvSpPr txBox="1"/>
      </xdr:nvSpPr>
      <xdr:spPr>
        <a:xfrm>
          <a:off x="14954250" y="6111875"/>
          <a:ext cx="889000" cy="342786"/>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600" b="1" baseline="0">
              <a:solidFill>
                <a:srgbClr val="C00000"/>
              </a:solidFill>
            </a:rPr>
            <a:t>-52.6%</a:t>
          </a:r>
          <a:endParaRPr lang="en-US" sz="1600" b="1">
            <a:solidFill>
              <a:srgbClr val="C00000"/>
            </a:solidFill>
          </a:endParaRPr>
        </a:p>
      </xdr:txBody>
    </xdr:sp>
    <xdr:clientData/>
  </xdr:oneCellAnchor>
  <xdr:oneCellAnchor>
    <xdr:from>
      <xdr:col>39</xdr:col>
      <xdr:colOff>174625</xdr:colOff>
      <xdr:row>29</xdr:row>
      <xdr:rowOff>158750</xdr:rowOff>
    </xdr:from>
    <xdr:ext cx="889000" cy="342786"/>
    <xdr:sp macro="" textlink="">
      <xdr:nvSpPr>
        <xdr:cNvPr id="49" name="TextBox 48">
          <a:extLst>
            <a:ext uri="{FF2B5EF4-FFF2-40B4-BE49-F238E27FC236}">
              <a16:creationId xmlns:a16="http://schemas.microsoft.com/office/drawing/2014/main" id="{CDAF7DEB-FC0F-0B48-A75D-D150DD4BADA3}"/>
            </a:ext>
          </a:extLst>
        </xdr:cNvPr>
        <xdr:cNvSpPr txBox="1"/>
      </xdr:nvSpPr>
      <xdr:spPr>
        <a:xfrm>
          <a:off x="24399875" y="6111875"/>
          <a:ext cx="889000" cy="342786"/>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600" b="1" baseline="0">
              <a:solidFill>
                <a:srgbClr val="C00000"/>
              </a:solidFill>
            </a:rPr>
            <a:t>-100%</a:t>
          </a:r>
          <a:endParaRPr lang="en-US" sz="1600" b="1">
            <a:solidFill>
              <a:srgbClr val="C00000"/>
            </a:solidFill>
          </a:endParaRPr>
        </a:p>
      </xdr:txBody>
    </xdr:sp>
    <xdr:clientData/>
  </xdr:oneCellAnchor>
  <xdr:oneCellAnchor>
    <xdr:from>
      <xdr:col>48</xdr:col>
      <xdr:colOff>95250</xdr:colOff>
      <xdr:row>29</xdr:row>
      <xdr:rowOff>158750</xdr:rowOff>
    </xdr:from>
    <xdr:ext cx="889000" cy="342786"/>
    <xdr:sp macro="" textlink="">
      <xdr:nvSpPr>
        <xdr:cNvPr id="50" name="TextBox 49">
          <a:extLst>
            <a:ext uri="{FF2B5EF4-FFF2-40B4-BE49-F238E27FC236}">
              <a16:creationId xmlns:a16="http://schemas.microsoft.com/office/drawing/2014/main" id="{6A3CEA77-BE2D-454F-8B27-141253530357}"/>
            </a:ext>
          </a:extLst>
        </xdr:cNvPr>
        <xdr:cNvSpPr txBox="1"/>
      </xdr:nvSpPr>
      <xdr:spPr>
        <a:xfrm>
          <a:off x="29892625" y="6111875"/>
          <a:ext cx="889000" cy="342786"/>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600" b="1" baseline="0">
              <a:solidFill>
                <a:srgbClr val="C00000"/>
              </a:solidFill>
            </a:rPr>
            <a:t>-130%</a:t>
          </a:r>
          <a:endParaRPr lang="en-US" sz="1600" b="1">
            <a:solidFill>
              <a:srgbClr val="C00000"/>
            </a:solidFill>
          </a:endParaRPr>
        </a:p>
      </xdr:txBody>
    </xdr:sp>
    <xdr:clientData/>
  </xdr:oneCellAnchor>
  <xdr:twoCellAnchor>
    <xdr:from>
      <xdr:col>30</xdr:col>
      <xdr:colOff>0</xdr:colOff>
      <xdr:row>24</xdr:row>
      <xdr:rowOff>63500</xdr:rowOff>
    </xdr:from>
    <xdr:to>
      <xdr:col>30</xdr:col>
      <xdr:colOff>15878</xdr:colOff>
      <xdr:row>64</xdr:row>
      <xdr:rowOff>177802</xdr:rowOff>
    </xdr:to>
    <xdr:cxnSp macro="">
      <xdr:nvCxnSpPr>
        <xdr:cNvPr id="53" name="Straight Connector 52">
          <a:extLst>
            <a:ext uri="{FF2B5EF4-FFF2-40B4-BE49-F238E27FC236}">
              <a16:creationId xmlns:a16="http://schemas.microsoft.com/office/drawing/2014/main" id="{299464A6-A46F-2041-9A38-37BAEC5B712F}"/>
            </a:ext>
          </a:extLst>
        </xdr:cNvPr>
        <xdr:cNvCxnSpPr/>
      </xdr:nvCxnSpPr>
      <xdr:spPr>
        <a:xfrm flipH="1" flipV="1">
          <a:off x="18653125" y="5064125"/>
          <a:ext cx="15878" cy="7734302"/>
        </a:xfrm>
        <a:prstGeom prst="line">
          <a:avLst/>
        </a:prstGeom>
        <a:ln w="25400">
          <a:solidFill>
            <a:schemeClr val="accent1">
              <a:lumMod val="20000"/>
              <a:lumOff val="8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555625</xdr:colOff>
      <xdr:row>18</xdr:row>
      <xdr:rowOff>95250</xdr:rowOff>
    </xdr:from>
    <xdr:ext cx="2587625" cy="1031629"/>
    <xdr:sp macro="" textlink="">
      <xdr:nvSpPr>
        <xdr:cNvPr id="54" name="TextBox 53">
          <a:extLst>
            <a:ext uri="{FF2B5EF4-FFF2-40B4-BE49-F238E27FC236}">
              <a16:creationId xmlns:a16="http://schemas.microsoft.com/office/drawing/2014/main" id="{5679C217-9D12-7249-B70D-9790FE73BDB9}"/>
            </a:ext>
          </a:extLst>
        </xdr:cNvPr>
        <xdr:cNvSpPr txBox="1"/>
      </xdr:nvSpPr>
      <xdr:spPr>
        <a:xfrm>
          <a:off x="17351375" y="3952875"/>
          <a:ext cx="2587625" cy="1031629"/>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000" b="1">
              <a:solidFill>
                <a:schemeClr val="tx1"/>
              </a:solidFill>
            </a:rPr>
            <a:t>Approximate</a:t>
          </a:r>
          <a:r>
            <a:rPr lang="en-US" sz="2000" b="1" baseline="0">
              <a:solidFill>
                <a:schemeClr val="tx1"/>
              </a:solidFill>
            </a:rPr>
            <a:t> time when all members are pensioners</a:t>
          </a:r>
          <a:endParaRPr lang="en-US" sz="2000" b="1">
            <a:solidFill>
              <a:schemeClr val="tx1"/>
            </a:solidFill>
          </a:endParaRPr>
        </a:p>
      </xdr:txBody>
    </xdr:sp>
    <xdr:clientData/>
  </xdr:oneCellAnchor>
  <xdr:oneCellAnchor>
    <xdr:from>
      <xdr:col>1</xdr:col>
      <xdr:colOff>2286000</xdr:colOff>
      <xdr:row>27</xdr:row>
      <xdr:rowOff>79374</xdr:rowOff>
    </xdr:from>
    <xdr:ext cx="27686000" cy="342786"/>
    <xdr:sp macro="" textlink="">
      <xdr:nvSpPr>
        <xdr:cNvPr id="57" name="TextBox 56">
          <a:extLst>
            <a:ext uri="{FF2B5EF4-FFF2-40B4-BE49-F238E27FC236}">
              <a16:creationId xmlns:a16="http://schemas.microsoft.com/office/drawing/2014/main" id="{CD988B11-D9D6-594C-A989-21B2735EFF18}"/>
            </a:ext>
          </a:extLst>
        </xdr:cNvPr>
        <xdr:cNvSpPr txBox="1"/>
      </xdr:nvSpPr>
      <xdr:spPr>
        <a:xfrm>
          <a:off x="3111500" y="5651499"/>
          <a:ext cx="27686000" cy="342786"/>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600" b="1" baseline="0">
              <a:solidFill>
                <a:schemeClr val="tx1"/>
              </a:solidFill>
            </a:rPr>
            <a:t>Overall decline of discretionary increases against annual rate of RPI by each company</a:t>
          </a:r>
          <a:endParaRPr lang="en-US" sz="1600" b="1">
            <a:solidFill>
              <a:schemeClr val="tx1"/>
            </a:solidFill>
          </a:endParaRPr>
        </a:p>
      </xdr:txBody>
    </xdr:sp>
    <xdr:clientData/>
  </xdr:oneCellAnchor>
  <xdr:oneCellAnchor>
    <xdr:from>
      <xdr:col>24</xdr:col>
      <xdr:colOff>158750</xdr:colOff>
      <xdr:row>25</xdr:row>
      <xdr:rowOff>47625</xdr:rowOff>
    </xdr:from>
    <xdr:ext cx="652743" cy="374141"/>
    <xdr:sp macro="" textlink="">
      <xdr:nvSpPr>
        <xdr:cNvPr id="58" name="TextBox 57">
          <a:extLst>
            <a:ext uri="{FF2B5EF4-FFF2-40B4-BE49-F238E27FC236}">
              <a16:creationId xmlns:a16="http://schemas.microsoft.com/office/drawing/2014/main" id="{52AADD8E-7C3D-6043-A633-A99B7ECB1647}"/>
            </a:ext>
          </a:extLst>
        </xdr:cNvPr>
        <xdr:cNvSpPr txBox="1"/>
      </xdr:nvSpPr>
      <xdr:spPr>
        <a:xfrm>
          <a:off x="15097125" y="5238750"/>
          <a:ext cx="652743"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b="1">
              <a:solidFill>
                <a:schemeClr val="bg1"/>
              </a:solidFill>
            </a:rPr>
            <a:t>2021</a:t>
          </a:r>
        </a:p>
      </xdr:txBody>
    </xdr:sp>
    <xdr:clientData/>
  </xdr:oneCellAnchor>
  <xdr:oneCellAnchor>
    <xdr:from>
      <xdr:col>25</xdr:col>
      <xdr:colOff>549275</xdr:colOff>
      <xdr:row>48</xdr:row>
      <xdr:rowOff>152400</xdr:rowOff>
    </xdr:from>
    <xdr:ext cx="889000" cy="342786"/>
    <xdr:sp macro="" textlink="">
      <xdr:nvSpPr>
        <xdr:cNvPr id="60" name="TextBox 59">
          <a:extLst>
            <a:ext uri="{FF2B5EF4-FFF2-40B4-BE49-F238E27FC236}">
              <a16:creationId xmlns:a16="http://schemas.microsoft.com/office/drawing/2014/main" id="{2470B2A4-33F9-7246-B927-89234851DE80}"/>
            </a:ext>
          </a:extLst>
        </xdr:cNvPr>
        <xdr:cNvSpPr txBox="1"/>
      </xdr:nvSpPr>
      <xdr:spPr>
        <a:xfrm>
          <a:off x="16106775" y="9725025"/>
          <a:ext cx="889000" cy="342786"/>
        </a:xfrm>
        <a:prstGeom prst="rect">
          <a:avLst/>
        </a:prstGeom>
        <a:solidFill>
          <a:schemeClr val="accent4">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600" b="1" baseline="0">
              <a:solidFill>
                <a:srgbClr val="C00000"/>
              </a:solidFill>
            </a:rPr>
            <a:t>25%</a:t>
          </a:r>
          <a:endParaRPr lang="en-US" sz="1600" b="1">
            <a:solidFill>
              <a:srgbClr val="C00000"/>
            </a:solidFill>
          </a:endParaRPr>
        </a:p>
      </xdr:txBody>
    </xdr:sp>
    <xdr:clientData/>
  </xdr:oneCellAnchor>
  <xdr:oneCellAnchor>
    <xdr:from>
      <xdr:col>12</xdr:col>
      <xdr:colOff>428625</xdr:colOff>
      <xdr:row>33</xdr:row>
      <xdr:rowOff>127000</xdr:rowOff>
    </xdr:from>
    <xdr:ext cx="889000" cy="342786"/>
    <xdr:sp macro="" textlink="">
      <xdr:nvSpPr>
        <xdr:cNvPr id="61" name="TextBox 60">
          <a:extLst>
            <a:ext uri="{FF2B5EF4-FFF2-40B4-BE49-F238E27FC236}">
              <a16:creationId xmlns:a16="http://schemas.microsoft.com/office/drawing/2014/main" id="{F88E3E77-4A47-3F47-9B41-A8CEB6EF1139}"/>
            </a:ext>
          </a:extLst>
        </xdr:cNvPr>
        <xdr:cNvSpPr txBox="1"/>
      </xdr:nvSpPr>
      <xdr:spPr>
        <a:xfrm>
          <a:off x="8509000" y="6842125"/>
          <a:ext cx="889000" cy="342786"/>
        </a:xfrm>
        <a:prstGeom prst="rect">
          <a:avLst/>
        </a:prstGeom>
        <a:solidFill>
          <a:schemeClr val="accent4">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600" b="1" baseline="0">
              <a:solidFill>
                <a:srgbClr val="C00000"/>
              </a:solidFill>
            </a:rPr>
            <a:t>97%</a:t>
          </a:r>
          <a:endParaRPr lang="en-US" sz="1600" b="1">
            <a:solidFill>
              <a:srgbClr val="C00000"/>
            </a:solidFill>
          </a:endParaRPr>
        </a:p>
      </xdr:txBody>
    </xdr:sp>
    <xdr:clientData/>
  </xdr:oneCellAnchor>
  <xdr:oneCellAnchor>
    <xdr:from>
      <xdr:col>32</xdr:col>
      <xdr:colOff>444500</xdr:colOff>
      <xdr:row>19</xdr:row>
      <xdr:rowOff>15875</xdr:rowOff>
    </xdr:from>
    <xdr:ext cx="10509250" cy="718530"/>
    <xdr:sp macro="" textlink="">
      <xdr:nvSpPr>
        <xdr:cNvPr id="63" name="TextBox 62">
          <a:extLst>
            <a:ext uri="{FF2B5EF4-FFF2-40B4-BE49-F238E27FC236}">
              <a16:creationId xmlns:a16="http://schemas.microsoft.com/office/drawing/2014/main" id="{1D735003-3741-3345-9E00-97EC198E1924}"/>
            </a:ext>
          </a:extLst>
        </xdr:cNvPr>
        <xdr:cNvSpPr txBox="1"/>
      </xdr:nvSpPr>
      <xdr:spPr>
        <a:xfrm>
          <a:off x="20335875" y="4064000"/>
          <a:ext cx="10509250" cy="718530"/>
        </a:xfrm>
        <a:prstGeom prst="rect">
          <a:avLst/>
        </a:prstGeom>
        <a:solidFill>
          <a:schemeClr val="accent4">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000" b="1">
              <a:solidFill>
                <a:srgbClr val="C00000"/>
              </a:solidFill>
            </a:rPr>
            <a:t>For</a:t>
          </a:r>
          <a:r>
            <a:rPr lang="en-US" sz="2000" b="1" baseline="0">
              <a:solidFill>
                <a:srgbClr val="C00000"/>
              </a:solidFill>
            </a:rPr>
            <a:t> a person who retired in 2003 - aged 60 - with 17 years service pre'97 - the approximate buying power of their Digital pension of £10,000 against RPI, over their estimated lifetime</a:t>
          </a:r>
          <a:endParaRPr lang="en-US" sz="2000" b="1">
            <a:solidFill>
              <a:srgbClr val="C00000"/>
            </a:solidFill>
          </a:endParaRPr>
        </a:p>
      </xdr:txBody>
    </xdr:sp>
    <xdr:clientData/>
  </xdr:oneCellAnchor>
  <xdr:oneCellAnchor>
    <xdr:from>
      <xdr:col>27</xdr:col>
      <xdr:colOff>333375</xdr:colOff>
      <xdr:row>54</xdr:row>
      <xdr:rowOff>158750</xdr:rowOff>
    </xdr:from>
    <xdr:ext cx="889000" cy="342786"/>
    <xdr:sp macro="" textlink="">
      <xdr:nvSpPr>
        <xdr:cNvPr id="64" name="TextBox 63">
          <a:extLst>
            <a:ext uri="{FF2B5EF4-FFF2-40B4-BE49-F238E27FC236}">
              <a16:creationId xmlns:a16="http://schemas.microsoft.com/office/drawing/2014/main" id="{21FF9B42-C555-3649-BB87-40A571500632}"/>
            </a:ext>
          </a:extLst>
        </xdr:cNvPr>
        <xdr:cNvSpPr txBox="1"/>
      </xdr:nvSpPr>
      <xdr:spPr>
        <a:xfrm>
          <a:off x="17129125" y="10874375"/>
          <a:ext cx="889000" cy="342786"/>
        </a:xfrm>
        <a:prstGeom prst="rect">
          <a:avLst/>
        </a:prstGeom>
        <a:solidFill>
          <a:schemeClr val="accent4">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600" b="1" baseline="0">
              <a:solidFill>
                <a:srgbClr val="C00000"/>
              </a:solidFill>
            </a:rPr>
            <a:t>15%</a:t>
          </a:r>
          <a:endParaRPr lang="en-US" sz="1600" b="1">
            <a:solidFill>
              <a:srgbClr val="C00000"/>
            </a:solidFill>
          </a:endParaRPr>
        </a:p>
      </xdr:txBody>
    </xdr:sp>
    <xdr:clientData/>
  </xdr:oneCellAnchor>
  <xdr:oneCellAnchor>
    <xdr:from>
      <xdr:col>19</xdr:col>
      <xdr:colOff>352425</xdr:colOff>
      <xdr:row>41</xdr:row>
      <xdr:rowOff>98425</xdr:rowOff>
    </xdr:from>
    <xdr:ext cx="889000" cy="342786"/>
    <xdr:sp macro="" textlink="">
      <xdr:nvSpPr>
        <xdr:cNvPr id="65" name="TextBox 64">
          <a:extLst>
            <a:ext uri="{FF2B5EF4-FFF2-40B4-BE49-F238E27FC236}">
              <a16:creationId xmlns:a16="http://schemas.microsoft.com/office/drawing/2014/main" id="{E06CFD78-B869-9D4E-AF15-85498C4EA7F7}"/>
            </a:ext>
          </a:extLst>
        </xdr:cNvPr>
        <xdr:cNvSpPr txBox="1"/>
      </xdr:nvSpPr>
      <xdr:spPr>
        <a:xfrm>
          <a:off x="12195175" y="8337550"/>
          <a:ext cx="889000" cy="342786"/>
        </a:xfrm>
        <a:prstGeom prst="rect">
          <a:avLst/>
        </a:prstGeom>
        <a:solidFill>
          <a:schemeClr val="accent4">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600" b="1" baseline="0">
              <a:solidFill>
                <a:srgbClr val="C00000"/>
              </a:solidFill>
            </a:rPr>
            <a:t>61%</a:t>
          </a:r>
          <a:endParaRPr lang="en-US" sz="1600" b="1">
            <a:solidFill>
              <a:srgbClr val="C00000"/>
            </a:solidFill>
          </a:endParaRPr>
        </a:p>
      </xdr:txBody>
    </xdr:sp>
    <xdr:clientData/>
  </xdr:oneCellAnchor>
  <xdr:oneCellAnchor>
    <xdr:from>
      <xdr:col>12</xdr:col>
      <xdr:colOff>460375</xdr:colOff>
      <xdr:row>35</xdr:row>
      <xdr:rowOff>63500</xdr:rowOff>
    </xdr:from>
    <xdr:ext cx="836383" cy="374141"/>
    <xdr:sp macro="" textlink="">
      <xdr:nvSpPr>
        <xdr:cNvPr id="66" name="TextBox 65">
          <a:extLst>
            <a:ext uri="{FF2B5EF4-FFF2-40B4-BE49-F238E27FC236}">
              <a16:creationId xmlns:a16="http://schemas.microsoft.com/office/drawing/2014/main" id="{F6B62F1C-312B-0B47-BE12-1855F9298BB8}"/>
            </a:ext>
          </a:extLst>
        </xdr:cNvPr>
        <xdr:cNvSpPr txBox="1"/>
      </xdr:nvSpPr>
      <xdr:spPr>
        <a:xfrm>
          <a:off x="8540750" y="7159625"/>
          <a:ext cx="836383"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b="1">
              <a:solidFill>
                <a:schemeClr val="bg1"/>
              </a:solidFill>
            </a:rPr>
            <a:t>Age</a:t>
          </a:r>
          <a:r>
            <a:rPr lang="en-US" sz="1800" b="1" baseline="0">
              <a:solidFill>
                <a:schemeClr val="bg1"/>
              </a:solidFill>
            </a:rPr>
            <a:t> 60</a:t>
          </a:r>
          <a:endParaRPr lang="en-US" sz="1800" b="1">
            <a:solidFill>
              <a:schemeClr val="bg1"/>
            </a:solidFill>
          </a:endParaRPr>
        </a:p>
      </xdr:txBody>
    </xdr:sp>
    <xdr:clientData/>
  </xdr:oneCellAnchor>
  <xdr:oneCellAnchor>
    <xdr:from>
      <xdr:col>19</xdr:col>
      <xdr:colOff>396875</xdr:colOff>
      <xdr:row>43</xdr:row>
      <xdr:rowOff>0</xdr:rowOff>
    </xdr:from>
    <xdr:ext cx="836383" cy="374141"/>
    <xdr:sp macro="" textlink="">
      <xdr:nvSpPr>
        <xdr:cNvPr id="67" name="TextBox 66">
          <a:extLst>
            <a:ext uri="{FF2B5EF4-FFF2-40B4-BE49-F238E27FC236}">
              <a16:creationId xmlns:a16="http://schemas.microsoft.com/office/drawing/2014/main" id="{3816FE6B-4E6E-624F-848A-13057BB319E5}"/>
            </a:ext>
          </a:extLst>
        </xdr:cNvPr>
        <xdr:cNvSpPr txBox="1"/>
      </xdr:nvSpPr>
      <xdr:spPr>
        <a:xfrm>
          <a:off x="12239625" y="8620125"/>
          <a:ext cx="836383"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b="1">
              <a:solidFill>
                <a:schemeClr val="bg1"/>
              </a:solidFill>
            </a:rPr>
            <a:t>Age</a:t>
          </a:r>
          <a:r>
            <a:rPr lang="en-US" sz="1800" b="1" baseline="0">
              <a:solidFill>
                <a:schemeClr val="bg1"/>
              </a:solidFill>
            </a:rPr>
            <a:t> 70</a:t>
          </a:r>
          <a:endParaRPr lang="en-US" sz="1800" b="1">
            <a:solidFill>
              <a:schemeClr val="bg1"/>
            </a:solidFill>
          </a:endParaRPr>
        </a:p>
      </xdr:txBody>
    </xdr:sp>
    <xdr:clientData/>
  </xdr:oneCellAnchor>
  <xdr:oneCellAnchor>
    <xdr:from>
      <xdr:col>26</xdr:col>
      <xdr:colOff>0</xdr:colOff>
      <xdr:row>50</xdr:row>
      <xdr:rowOff>79375</xdr:rowOff>
    </xdr:from>
    <xdr:ext cx="836383" cy="374141"/>
    <xdr:sp macro="" textlink="">
      <xdr:nvSpPr>
        <xdr:cNvPr id="68" name="TextBox 67">
          <a:extLst>
            <a:ext uri="{FF2B5EF4-FFF2-40B4-BE49-F238E27FC236}">
              <a16:creationId xmlns:a16="http://schemas.microsoft.com/office/drawing/2014/main" id="{E8F990F1-1DE6-CF4C-AC5F-7568A673D4B8}"/>
            </a:ext>
          </a:extLst>
        </xdr:cNvPr>
        <xdr:cNvSpPr txBox="1"/>
      </xdr:nvSpPr>
      <xdr:spPr>
        <a:xfrm>
          <a:off x="16176625" y="10033000"/>
          <a:ext cx="836383"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b="1">
              <a:solidFill>
                <a:schemeClr val="bg1"/>
              </a:solidFill>
            </a:rPr>
            <a:t>Age</a:t>
          </a:r>
          <a:r>
            <a:rPr lang="en-US" sz="1800" b="1" baseline="0">
              <a:solidFill>
                <a:schemeClr val="bg1"/>
              </a:solidFill>
            </a:rPr>
            <a:t> 80</a:t>
          </a:r>
          <a:endParaRPr lang="en-US" sz="1800" b="1">
            <a:solidFill>
              <a:schemeClr val="bg1"/>
            </a:solidFill>
          </a:endParaRPr>
        </a:p>
      </xdr:txBody>
    </xdr:sp>
    <xdr:clientData/>
  </xdr:oneCellAnchor>
  <xdr:twoCellAnchor>
    <xdr:from>
      <xdr:col>14</xdr:col>
      <xdr:colOff>269875</xdr:colOff>
      <xdr:row>34</xdr:row>
      <xdr:rowOff>107893</xdr:rowOff>
    </xdr:from>
    <xdr:to>
      <xdr:col>20</xdr:col>
      <xdr:colOff>177800</xdr:colOff>
      <xdr:row>41</xdr:row>
      <xdr:rowOff>98425</xdr:rowOff>
    </xdr:to>
    <xdr:cxnSp macro="">
      <xdr:nvCxnSpPr>
        <xdr:cNvPr id="70" name="Straight Arrow Connector 69">
          <a:extLst>
            <a:ext uri="{FF2B5EF4-FFF2-40B4-BE49-F238E27FC236}">
              <a16:creationId xmlns:a16="http://schemas.microsoft.com/office/drawing/2014/main" id="{B9A315CE-9536-2649-9A0A-442F31F322F3}"/>
            </a:ext>
          </a:extLst>
        </xdr:cNvPr>
        <xdr:cNvCxnSpPr>
          <a:stCxn id="61" idx="3"/>
          <a:endCxn id="65" idx="0"/>
        </xdr:cNvCxnSpPr>
      </xdr:nvCxnSpPr>
      <xdr:spPr>
        <a:xfrm>
          <a:off x="9398000" y="7013518"/>
          <a:ext cx="3241675" cy="1324032"/>
        </a:xfrm>
        <a:prstGeom prst="straightConnector1">
          <a:avLst/>
        </a:prstGeom>
        <a:ln>
          <a:solidFill>
            <a:schemeClr val="accent4">
              <a:lumMod val="40000"/>
              <a:lumOff val="6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3175</xdr:colOff>
      <xdr:row>42</xdr:row>
      <xdr:rowOff>79318</xdr:rowOff>
    </xdr:from>
    <xdr:to>
      <xdr:col>26</xdr:col>
      <xdr:colOff>374650</xdr:colOff>
      <xdr:row>48</xdr:row>
      <xdr:rowOff>152400</xdr:rowOff>
    </xdr:to>
    <xdr:cxnSp macro="">
      <xdr:nvCxnSpPr>
        <xdr:cNvPr id="71" name="Straight Arrow Connector 70">
          <a:extLst>
            <a:ext uri="{FF2B5EF4-FFF2-40B4-BE49-F238E27FC236}">
              <a16:creationId xmlns:a16="http://schemas.microsoft.com/office/drawing/2014/main" id="{C5B17EFB-B774-6647-A88F-861A5E1335B0}"/>
            </a:ext>
          </a:extLst>
        </xdr:cNvPr>
        <xdr:cNvCxnSpPr>
          <a:stCxn id="65" idx="3"/>
          <a:endCxn id="60" idx="0"/>
        </xdr:cNvCxnSpPr>
      </xdr:nvCxnSpPr>
      <xdr:spPr>
        <a:xfrm>
          <a:off x="13084175" y="8508943"/>
          <a:ext cx="3467100" cy="1216082"/>
        </a:xfrm>
        <a:prstGeom prst="straightConnector1">
          <a:avLst/>
        </a:prstGeom>
        <a:ln>
          <a:solidFill>
            <a:schemeClr val="accent4">
              <a:lumMod val="40000"/>
              <a:lumOff val="6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200025</xdr:colOff>
      <xdr:row>49</xdr:row>
      <xdr:rowOff>133293</xdr:rowOff>
    </xdr:from>
    <xdr:to>
      <xdr:col>28</xdr:col>
      <xdr:colOff>158750</xdr:colOff>
      <xdr:row>54</xdr:row>
      <xdr:rowOff>158750</xdr:rowOff>
    </xdr:to>
    <xdr:cxnSp macro="">
      <xdr:nvCxnSpPr>
        <xdr:cNvPr id="74" name="Straight Arrow Connector 73">
          <a:extLst>
            <a:ext uri="{FF2B5EF4-FFF2-40B4-BE49-F238E27FC236}">
              <a16:creationId xmlns:a16="http://schemas.microsoft.com/office/drawing/2014/main" id="{9F336A78-3B87-904B-AA65-840C1663658D}"/>
            </a:ext>
          </a:extLst>
        </xdr:cNvPr>
        <xdr:cNvCxnSpPr>
          <a:stCxn id="60" idx="3"/>
          <a:endCxn id="64" idx="0"/>
        </xdr:cNvCxnSpPr>
      </xdr:nvCxnSpPr>
      <xdr:spPr>
        <a:xfrm>
          <a:off x="16995775" y="9896418"/>
          <a:ext cx="577850" cy="977957"/>
        </a:xfrm>
        <a:prstGeom prst="straightConnector1">
          <a:avLst/>
        </a:prstGeom>
        <a:ln>
          <a:solidFill>
            <a:schemeClr val="accent4">
              <a:lumMod val="40000"/>
              <a:lumOff val="6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396875</xdr:colOff>
      <xdr:row>56</xdr:row>
      <xdr:rowOff>142875</xdr:rowOff>
    </xdr:from>
    <xdr:ext cx="836383" cy="374141"/>
    <xdr:sp macro="" textlink="">
      <xdr:nvSpPr>
        <xdr:cNvPr id="77" name="TextBox 76">
          <a:extLst>
            <a:ext uri="{FF2B5EF4-FFF2-40B4-BE49-F238E27FC236}">
              <a16:creationId xmlns:a16="http://schemas.microsoft.com/office/drawing/2014/main" id="{ED2B1929-8771-6D4B-A648-D65181E6C613}"/>
            </a:ext>
          </a:extLst>
        </xdr:cNvPr>
        <xdr:cNvSpPr txBox="1"/>
      </xdr:nvSpPr>
      <xdr:spPr>
        <a:xfrm>
          <a:off x="17192625" y="11239500"/>
          <a:ext cx="836383"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b="1">
              <a:solidFill>
                <a:schemeClr val="bg1"/>
              </a:solidFill>
            </a:rPr>
            <a:t>Age</a:t>
          </a:r>
          <a:r>
            <a:rPr lang="en-US" sz="1800" b="1" baseline="0">
              <a:solidFill>
                <a:schemeClr val="bg1"/>
              </a:solidFill>
            </a:rPr>
            <a:t> 83</a:t>
          </a:r>
          <a:endParaRPr lang="en-US" sz="1800" b="1">
            <a:solidFill>
              <a:schemeClr val="bg1"/>
            </a:solidFill>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A1E05-682C-624A-A3F7-10A3E06DCC3E}">
  <dimension ref="A1:AK156"/>
  <sheetViews>
    <sheetView tabSelected="1" zoomScale="80" zoomScaleNormal="80" workbookViewId="0">
      <selection activeCell="B4" sqref="B4"/>
    </sheetView>
  </sheetViews>
  <sheetFormatPr baseColWidth="10" defaultRowHeight="15"/>
  <cols>
    <col min="1" max="1" width="2.83203125" customWidth="1"/>
    <col min="2" max="2" width="11.1640625" customWidth="1"/>
    <col min="3" max="3" width="12.5" customWidth="1"/>
    <col min="4" max="4" width="12" customWidth="1"/>
    <col min="5" max="5" width="12.6640625" customWidth="1"/>
    <col min="6" max="6" width="15.83203125" customWidth="1"/>
    <col min="7" max="8" width="12.6640625" customWidth="1"/>
    <col min="9" max="9" width="13.33203125" customWidth="1"/>
    <col min="10" max="10" width="15.6640625" customWidth="1"/>
    <col min="11" max="11" width="14.6640625" customWidth="1"/>
    <col min="12" max="12" width="12" customWidth="1"/>
    <col min="13" max="13" width="13.83203125" customWidth="1"/>
    <col min="14" max="14" width="13.6640625" customWidth="1"/>
    <col min="15" max="15" width="15.6640625" customWidth="1"/>
    <col min="16" max="16" width="12.6640625" customWidth="1"/>
    <col min="17" max="17" width="13.1640625" customWidth="1"/>
    <col min="18" max="18" width="12" customWidth="1"/>
    <col min="19" max="19" width="15" bestFit="1" customWidth="1"/>
    <col min="20" max="20" width="13.1640625" customWidth="1"/>
    <col min="21" max="21" width="12.1640625" customWidth="1"/>
    <col min="22" max="22" width="12.83203125" customWidth="1"/>
    <col min="23" max="23" width="11.1640625" customWidth="1"/>
    <col min="24" max="24" width="13.6640625" bestFit="1" customWidth="1"/>
    <col min="25" max="25" width="12.33203125" customWidth="1"/>
    <col min="27" max="27" width="17.6640625" customWidth="1"/>
    <col min="30" max="30" width="11.6640625" bestFit="1" customWidth="1"/>
    <col min="33" max="33" width="12.5" customWidth="1"/>
  </cols>
  <sheetData>
    <row r="1" spans="1:37" ht="16" thickBot="1"/>
    <row r="2" spans="1:37" ht="32" customHeight="1" thickBot="1">
      <c r="B2" s="543" t="s">
        <v>254</v>
      </c>
      <c r="C2" s="544"/>
      <c r="D2" s="544"/>
      <c r="E2" s="544"/>
      <c r="F2" s="544"/>
      <c r="G2" s="544"/>
      <c r="H2" s="544"/>
      <c r="I2" s="544"/>
      <c r="J2" s="544"/>
      <c r="K2" s="544"/>
      <c r="L2" s="544"/>
      <c r="M2" s="544"/>
      <c r="N2" s="544"/>
      <c r="O2" s="544"/>
      <c r="P2" s="544"/>
      <c r="Q2" s="544"/>
      <c r="R2" s="544"/>
      <c r="S2" s="544"/>
      <c r="T2" s="544"/>
      <c r="U2" s="545"/>
      <c r="W2" s="210"/>
      <c r="X2" s="210"/>
      <c r="Y2" s="210"/>
      <c r="Z2" s="210"/>
      <c r="AA2" s="210"/>
      <c r="AB2" s="210"/>
      <c r="AC2" s="210"/>
      <c r="AD2" s="210"/>
      <c r="AE2" s="210"/>
      <c r="AF2" s="210"/>
      <c r="AG2" s="210"/>
      <c r="AH2" s="210"/>
      <c r="AI2" s="210"/>
      <c r="AJ2" s="210"/>
      <c r="AK2" s="210"/>
    </row>
    <row r="3" spans="1:37" ht="17" customHeight="1">
      <c r="B3" s="145"/>
      <c r="C3" s="146"/>
      <c r="D3" s="146"/>
      <c r="E3" s="146"/>
      <c r="F3" s="146"/>
      <c r="G3" s="146"/>
      <c r="H3" s="146"/>
      <c r="I3" s="146"/>
      <c r="J3" s="146"/>
      <c r="K3" s="146"/>
      <c r="L3" s="146"/>
      <c r="M3" s="146"/>
      <c r="N3" s="146"/>
      <c r="O3" s="146"/>
      <c r="P3" s="146"/>
      <c r="Q3" s="146"/>
      <c r="R3" s="146"/>
      <c r="S3" s="146"/>
      <c r="T3" s="146"/>
      <c r="U3" s="147"/>
      <c r="V3" s="67"/>
    </row>
    <row r="4" spans="1:37" ht="25" customHeight="1">
      <c r="B4" s="151"/>
      <c r="C4" s="552" t="s">
        <v>262</v>
      </c>
      <c r="D4" s="552"/>
      <c r="E4" s="552"/>
      <c r="F4" s="552"/>
      <c r="G4" s="552"/>
      <c r="H4" s="552"/>
      <c r="I4" s="552"/>
      <c r="J4" s="552"/>
      <c r="K4" s="552"/>
      <c r="L4" s="552"/>
      <c r="M4" s="552"/>
      <c r="N4" s="552"/>
      <c r="O4" s="552"/>
      <c r="P4" s="552"/>
      <c r="Q4" s="552"/>
      <c r="R4" s="552"/>
      <c r="S4" s="553"/>
      <c r="T4" s="67"/>
      <c r="U4" s="148"/>
      <c r="V4" s="67"/>
    </row>
    <row r="5" spans="1:37" ht="17" customHeight="1">
      <c r="B5" s="151"/>
      <c r="C5" s="67"/>
      <c r="D5" s="67"/>
      <c r="E5" s="67"/>
      <c r="F5" s="67"/>
      <c r="G5" s="67"/>
      <c r="H5" s="67"/>
      <c r="I5" s="67"/>
      <c r="J5" s="67"/>
      <c r="K5" s="67"/>
      <c r="L5" s="67"/>
      <c r="M5" s="67"/>
      <c r="N5" s="67"/>
      <c r="O5" s="67"/>
      <c r="P5" s="67"/>
      <c r="Q5" s="67"/>
      <c r="R5" s="67"/>
      <c r="S5" s="67"/>
      <c r="T5" s="67"/>
      <c r="U5" s="148"/>
      <c r="V5" s="67"/>
    </row>
    <row r="6" spans="1:37" ht="29">
      <c r="A6" s="37"/>
      <c r="B6" s="549" t="s">
        <v>62</v>
      </c>
      <c r="C6" s="550"/>
      <c r="D6" s="550"/>
      <c r="E6" s="550"/>
      <c r="F6" s="550"/>
      <c r="G6" s="550"/>
      <c r="H6" s="551"/>
      <c r="I6" s="551"/>
      <c r="J6" s="551"/>
      <c r="K6" s="551"/>
      <c r="L6" s="67"/>
      <c r="M6" s="546" t="s">
        <v>80</v>
      </c>
      <c r="N6" s="547"/>
      <c r="O6" s="547"/>
      <c r="P6" s="548"/>
      <c r="Q6" s="422" t="s">
        <v>83</v>
      </c>
      <c r="R6" s="422">
        <v>2021</v>
      </c>
      <c r="S6" s="67"/>
      <c r="T6" s="67"/>
      <c r="U6" s="148"/>
      <c r="V6" s="67"/>
    </row>
    <row r="7" spans="1:37" ht="20" thickBot="1">
      <c r="A7" s="37"/>
      <c r="B7" s="149"/>
      <c r="C7" s="144"/>
      <c r="D7" s="144"/>
      <c r="E7" s="144"/>
      <c r="F7" s="142"/>
      <c r="G7" s="142"/>
      <c r="H7" s="142"/>
      <c r="I7" s="142"/>
      <c r="J7" s="143"/>
      <c r="K7" s="143"/>
      <c r="L7" s="67"/>
      <c r="M7" s="144"/>
      <c r="N7" s="67"/>
      <c r="O7" s="67"/>
      <c r="P7" s="67"/>
      <c r="Q7" s="67"/>
      <c r="R7" s="67"/>
      <c r="S7" s="67"/>
      <c r="T7" s="67"/>
      <c r="U7" s="148"/>
      <c r="V7" s="67"/>
    </row>
    <row r="8" spans="1:37" ht="20" thickBot="1">
      <c r="A8" s="37"/>
      <c r="B8" s="467" t="s">
        <v>258</v>
      </c>
      <c r="C8" s="468"/>
      <c r="D8" s="468"/>
      <c r="E8" s="468"/>
      <c r="F8" s="468"/>
      <c r="G8" s="468"/>
      <c r="H8" s="469"/>
      <c r="I8" s="469"/>
      <c r="J8" s="469"/>
      <c r="K8" s="469"/>
      <c r="L8" s="423" t="s">
        <v>48</v>
      </c>
      <c r="M8" s="279">
        <v>1955</v>
      </c>
      <c r="N8" s="67"/>
      <c r="O8" s="67"/>
      <c r="P8" s="67"/>
      <c r="Q8" s="67"/>
      <c r="R8" s="67"/>
      <c r="S8" s="67"/>
      <c r="T8" s="67"/>
      <c r="U8" s="148"/>
      <c r="V8" s="67"/>
    </row>
    <row r="9" spans="1:37" ht="20" thickBot="1">
      <c r="A9" s="37"/>
      <c r="B9" s="467" t="s">
        <v>259</v>
      </c>
      <c r="C9" s="468"/>
      <c r="D9" s="468"/>
      <c r="E9" s="468"/>
      <c r="F9" s="468"/>
      <c r="G9" s="468"/>
      <c r="H9" s="469"/>
      <c r="I9" s="469"/>
      <c r="J9" s="469"/>
      <c r="K9" s="469"/>
      <c r="L9" s="423" t="s">
        <v>48</v>
      </c>
      <c r="M9" s="279">
        <v>1980</v>
      </c>
      <c r="N9" s="212" t="s">
        <v>96</v>
      </c>
      <c r="O9" s="473" t="s">
        <v>60</v>
      </c>
      <c r="P9" s="474"/>
      <c r="Q9" s="306">
        <f>'DETAILED MODELLER - PERSON 1'!F51</f>
        <v>17</v>
      </c>
      <c r="R9" s="141">
        <f>'DETAILED MODELLER - PERSON 1'!G51</f>
        <v>0.89473684210526316</v>
      </c>
      <c r="S9" s="67"/>
      <c r="T9" s="67"/>
      <c r="U9" s="148"/>
      <c r="V9" s="67"/>
    </row>
    <row r="10" spans="1:37" ht="20" thickBot="1">
      <c r="A10" s="37"/>
      <c r="B10" s="467" t="s">
        <v>260</v>
      </c>
      <c r="C10" s="468"/>
      <c r="D10" s="468"/>
      <c r="E10" s="468"/>
      <c r="F10" s="468"/>
      <c r="G10" s="468"/>
      <c r="H10" s="469"/>
      <c r="I10" s="469"/>
      <c r="J10" s="469"/>
      <c r="K10" s="469"/>
      <c r="L10" s="423" t="s">
        <v>48</v>
      </c>
      <c r="M10" s="279">
        <v>1999</v>
      </c>
      <c r="N10" s="212" t="s">
        <v>97</v>
      </c>
      <c r="O10" s="473" t="s">
        <v>61</v>
      </c>
      <c r="P10" s="474"/>
      <c r="Q10" s="306">
        <f>'DETAILED MODELLER - PERSON 1'!F52</f>
        <v>2</v>
      </c>
      <c r="R10" s="141">
        <f>'DETAILED MODELLER - PERSON 1'!G52</f>
        <v>0.10526315789473684</v>
      </c>
      <c r="S10" s="67"/>
      <c r="T10" s="67"/>
      <c r="U10" s="148"/>
      <c r="V10" s="67"/>
    </row>
    <row r="11" spans="1:37" ht="20" thickBot="1">
      <c r="A11" s="37"/>
      <c r="B11" s="151"/>
      <c r="C11" s="144"/>
      <c r="D11" s="144"/>
      <c r="E11" s="144"/>
      <c r="F11" s="67"/>
      <c r="G11" s="67"/>
      <c r="H11" s="67"/>
      <c r="I11" s="67"/>
      <c r="J11" s="67"/>
      <c r="K11" s="67"/>
      <c r="L11" s="143"/>
      <c r="M11" s="164"/>
      <c r="N11" s="67"/>
      <c r="O11" s="473" t="s">
        <v>79</v>
      </c>
      <c r="P11" s="474"/>
      <c r="Q11" s="306">
        <f>'DETAILED MODELLER - PERSON 1'!D53</f>
        <v>19</v>
      </c>
      <c r="R11" s="67"/>
      <c r="S11" s="67"/>
      <c r="T11" s="67"/>
      <c r="U11" s="148"/>
      <c r="V11" s="67"/>
    </row>
    <row r="12" spans="1:37" ht="19">
      <c r="A12" s="37"/>
      <c r="B12" s="467" t="s">
        <v>263</v>
      </c>
      <c r="C12" s="468"/>
      <c r="D12" s="468"/>
      <c r="E12" s="468"/>
      <c r="F12" s="468"/>
      <c r="G12" s="468"/>
      <c r="H12" s="469"/>
      <c r="I12" s="469"/>
      <c r="J12" s="469"/>
      <c r="K12" s="469"/>
      <c r="L12" s="465" t="s">
        <v>48</v>
      </c>
      <c r="M12" s="279">
        <v>2017</v>
      </c>
      <c r="N12" s="212" t="s">
        <v>164</v>
      </c>
      <c r="O12" s="473" t="s">
        <v>81</v>
      </c>
      <c r="P12" s="474"/>
      <c r="Q12" s="306">
        <f>R6-M12</f>
        <v>4</v>
      </c>
      <c r="R12" s="67"/>
      <c r="S12" s="67"/>
      <c r="T12" s="67"/>
      <c r="U12" s="148"/>
      <c r="V12" s="67"/>
    </row>
    <row r="13" spans="1:37" ht="19">
      <c r="A13" s="37"/>
      <c r="B13" s="580" t="s">
        <v>264</v>
      </c>
      <c r="C13" s="581"/>
      <c r="D13" s="581"/>
      <c r="E13" s="581"/>
      <c r="F13" s="581"/>
      <c r="G13" s="581"/>
      <c r="H13" s="582"/>
      <c r="I13" s="582"/>
      <c r="J13" s="582"/>
      <c r="K13" s="689"/>
      <c r="L13" s="466"/>
      <c r="M13" s="463">
        <f>M12-M8</f>
        <v>62</v>
      </c>
      <c r="N13" s="67"/>
      <c r="O13" s="473" t="s">
        <v>36</v>
      </c>
      <c r="P13" s="474"/>
      <c r="Q13" s="306">
        <f>M13+Q12</f>
        <v>66</v>
      </c>
      <c r="R13" s="67" t="s">
        <v>241</v>
      </c>
      <c r="S13" s="67"/>
      <c r="T13" s="67"/>
      <c r="U13" s="148"/>
      <c r="V13" s="67"/>
    </row>
    <row r="14" spans="1:37" ht="20" thickBot="1">
      <c r="A14" s="37"/>
      <c r="B14" s="149"/>
      <c r="C14" s="144"/>
      <c r="D14" s="144"/>
      <c r="E14" s="144"/>
      <c r="F14" s="142"/>
      <c r="G14" s="142"/>
      <c r="H14" s="480" t="str">
        <f>IF(M12&lt;M10,"PLEASE DOUBLE-CHECK DATES ENTERED"," ")</f>
        <v xml:space="preserve"> </v>
      </c>
      <c r="I14" s="480"/>
      <c r="J14" s="480"/>
      <c r="K14" s="480"/>
      <c r="L14" s="143"/>
      <c r="M14" s="464" t="str">
        <f>IF(M12&lt;M10,"????????"," ")</f>
        <v xml:space="preserve"> </v>
      </c>
      <c r="N14" s="67"/>
      <c r="O14" s="67"/>
      <c r="P14" s="67"/>
      <c r="Q14" s="67"/>
      <c r="R14" s="67"/>
      <c r="S14" s="67"/>
      <c r="T14" s="67"/>
      <c r="U14" s="148"/>
      <c r="V14" s="67"/>
    </row>
    <row r="15" spans="1:37" ht="22" thickBot="1">
      <c r="A15" s="37"/>
      <c r="B15" s="467" t="s">
        <v>266</v>
      </c>
      <c r="C15" s="469"/>
      <c r="D15" s="469"/>
      <c r="E15" s="469"/>
      <c r="F15" s="469"/>
      <c r="G15" s="469"/>
      <c r="H15" s="469"/>
      <c r="I15" s="469"/>
      <c r="J15" s="469"/>
      <c r="K15" s="469"/>
      <c r="L15" s="423" t="s">
        <v>48</v>
      </c>
      <c r="M15" s="166">
        <v>15000</v>
      </c>
      <c r="N15" s="687" t="s">
        <v>220</v>
      </c>
      <c r="O15" s="688"/>
      <c r="P15" s="688"/>
      <c r="Q15" s="688"/>
      <c r="R15" s="688"/>
      <c r="S15" s="688"/>
      <c r="T15" s="67"/>
      <c r="U15" s="148"/>
      <c r="V15" s="67"/>
    </row>
    <row r="16" spans="1:37" ht="19">
      <c r="A16" s="37"/>
      <c r="B16" s="213" t="s">
        <v>89</v>
      </c>
      <c r="C16" s="425" t="s">
        <v>160</v>
      </c>
      <c r="D16" s="67"/>
      <c r="E16" s="67"/>
      <c r="F16" s="67"/>
      <c r="G16" s="67"/>
      <c r="H16" s="67"/>
      <c r="I16" s="67"/>
      <c r="J16" s="67"/>
      <c r="K16" s="67"/>
      <c r="L16" s="67"/>
      <c r="M16" s="67"/>
      <c r="N16" s="421"/>
      <c r="O16" s="421"/>
      <c r="P16" s="421"/>
      <c r="Q16" s="421"/>
      <c r="R16" s="421"/>
      <c r="S16" s="67"/>
      <c r="T16" s="67"/>
      <c r="U16" s="148"/>
      <c r="V16" s="67"/>
    </row>
    <row r="17" spans="1:23" ht="19">
      <c r="A17" s="37"/>
      <c r="B17" s="241">
        <v>1</v>
      </c>
      <c r="C17" s="475" t="s">
        <v>94</v>
      </c>
      <c r="D17" s="476"/>
      <c r="E17" s="476"/>
      <c r="F17" s="476"/>
      <c r="G17" s="476"/>
      <c r="H17" s="476"/>
      <c r="I17" s="477"/>
      <c r="J17" s="239">
        <f>'DETAILED MODELLER - PERSON 1'!H51</f>
        <v>13421.052631578947</v>
      </c>
      <c r="K17" s="240">
        <f>R9</f>
        <v>0.89473684210526316</v>
      </c>
      <c r="L17" s="67"/>
      <c r="M17" s="475" t="s">
        <v>111</v>
      </c>
      <c r="N17" s="476"/>
      <c r="O17" s="476"/>
      <c r="P17" s="476"/>
      <c r="Q17" s="476"/>
      <c r="R17" s="476"/>
      <c r="S17" s="477"/>
      <c r="T17" s="305">
        <f>M12</f>
        <v>2017</v>
      </c>
      <c r="U17" s="148"/>
      <c r="V17" s="67"/>
    </row>
    <row r="18" spans="1:23" ht="19">
      <c r="A18" s="37"/>
      <c r="B18" s="241">
        <v>2</v>
      </c>
      <c r="C18" s="475" t="s">
        <v>95</v>
      </c>
      <c r="D18" s="476"/>
      <c r="E18" s="476"/>
      <c r="F18" s="476"/>
      <c r="G18" s="476"/>
      <c r="H18" s="476"/>
      <c r="I18" s="477"/>
      <c r="J18" s="239">
        <f>'DETAILED MODELLER - PERSON 1'!H52</f>
        <v>1578.9473684210525</v>
      </c>
      <c r="K18" s="240">
        <f>R10</f>
        <v>0.10526315789473684</v>
      </c>
      <c r="L18" s="67"/>
      <c r="M18" s="563" t="s">
        <v>219</v>
      </c>
      <c r="N18" s="563"/>
      <c r="O18" s="563"/>
      <c r="P18" s="563"/>
      <c r="Q18" s="563"/>
      <c r="R18" s="563"/>
      <c r="S18" s="563"/>
      <c r="T18" s="563"/>
      <c r="U18" s="148"/>
      <c r="V18" s="67"/>
    </row>
    <row r="19" spans="1:23" ht="19">
      <c r="A19" s="37"/>
      <c r="B19" s="241">
        <v>3</v>
      </c>
      <c r="C19" s="563" t="s">
        <v>261</v>
      </c>
      <c r="D19" s="563"/>
      <c r="E19" s="563"/>
      <c r="F19" s="563"/>
      <c r="G19" s="563"/>
      <c r="H19" s="563"/>
      <c r="I19" s="563"/>
      <c r="J19" s="563"/>
      <c r="K19" s="563"/>
      <c r="L19" s="67"/>
      <c r="M19" s="67"/>
      <c r="N19" s="67"/>
      <c r="O19" s="67"/>
      <c r="P19" s="67"/>
      <c r="Q19" s="67"/>
      <c r="R19" s="67"/>
      <c r="S19" s="67"/>
      <c r="T19" s="67"/>
      <c r="U19" s="148"/>
      <c r="V19" s="67"/>
    </row>
    <row r="20" spans="1:23" ht="19" customHeight="1">
      <c r="A20" s="37"/>
      <c r="B20" s="213"/>
      <c r="C20" s="478" t="s">
        <v>265</v>
      </c>
      <c r="D20" s="478"/>
      <c r="E20" s="478"/>
      <c r="F20" s="478"/>
      <c r="G20" s="478"/>
      <c r="H20" s="478"/>
      <c r="I20" s="478"/>
      <c r="J20" s="478"/>
      <c r="K20" s="478"/>
      <c r="L20" s="67"/>
      <c r="M20" s="561" t="s">
        <v>252</v>
      </c>
      <c r="N20" s="561"/>
      <c r="O20" s="561"/>
      <c r="P20" s="561"/>
      <c r="Q20" s="561"/>
      <c r="R20" s="561"/>
      <c r="S20" s="561"/>
      <c r="T20" s="561"/>
      <c r="U20" s="148"/>
      <c r="V20" s="67"/>
    </row>
    <row r="21" spans="1:23" ht="19" customHeight="1">
      <c r="A21" s="37"/>
      <c r="B21" s="150"/>
      <c r="C21" s="478"/>
      <c r="D21" s="478"/>
      <c r="E21" s="478"/>
      <c r="F21" s="478"/>
      <c r="G21" s="478"/>
      <c r="H21" s="478"/>
      <c r="I21" s="478"/>
      <c r="J21" s="478"/>
      <c r="K21" s="478"/>
      <c r="L21" s="67"/>
      <c r="M21" s="561"/>
      <c r="N21" s="561"/>
      <c r="O21" s="561"/>
      <c r="P21" s="561"/>
      <c r="Q21" s="561"/>
      <c r="R21" s="561"/>
      <c r="S21" s="561"/>
      <c r="T21" s="561"/>
      <c r="U21" s="148"/>
      <c r="V21" s="67"/>
    </row>
    <row r="22" spans="1:23" ht="36" customHeight="1" thickBot="1">
      <c r="A22" s="37"/>
      <c r="B22" s="242"/>
      <c r="C22" s="479"/>
      <c r="D22" s="479"/>
      <c r="E22" s="479"/>
      <c r="F22" s="479"/>
      <c r="G22" s="479"/>
      <c r="H22" s="479"/>
      <c r="I22" s="479"/>
      <c r="J22" s="479"/>
      <c r="K22" s="479"/>
      <c r="L22" s="152"/>
      <c r="M22" s="562"/>
      <c r="N22" s="562"/>
      <c r="O22" s="562"/>
      <c r="P22" s="562"/>
      <c r="Q22" s="562"/>
      <c r="R22" s="562"/>
      <c r="S22" s="562"/>
      <c r="T22" s="562"/>
      <c r="U22" s="153"/>
      <c r="V22" s="67"/>
    </row>
    <row r="23" spans="1:23" ht="25" thickBot="1">
      <c r="A23" s="37"/>
      <c r="B23" s="470" t="s">
        <v>226</v>
      </c>
      <c r="C23" s="471"/>
      <c r="D23" s="471"/>
      <c r="E23" s="471"/>
      <c r="F23" s="471"/>
      <c r="G23" s="471"/>
      <c r="H23" s="471"/>
      <c r="I23" s="471"/>
      <c r="J23" s="471"/>
      <c r="K23" s="471"/>
      <c r="L23" s="471"/>
      <c r="M23" s="471"/>
      <c r="N23" s="471"/>
      <c r="O23" s="471"/>
      <c r="P23" s="471"/>
      <c r="Q23" s="471"/>
      <c r="R23" s="471"/>
      <c r="S23" s="471"/>
      <c r="T23" s="471"/>
      <c r="U23" s="472"/>
      <c r="V23" s="67"/>
    </row>
    <row r="24" spans="1:23" ht="24" customHeight="1">
      <c r="A24" s="37"/>
      <c r="B24" s="573" t="s">
        <v>223</v>
      </c>
      <c r="C24" s="573"/>
      <c r="D24" s="573"/>
      <c r="E24" s="573"/>
      <c r="F24" s="573"/>
      <c r="G24" s="573"/>
      <c r="H24" s="573"/>
      <c r="I24" s="573"/>
      <c r="J24" s="573"/>
      <c r="K24" s="573"/>
      <c r="L24" s="67"/>
      <c r="M24" s="43"/>
      <c r="N24" s="594" t="s">
        <v>253</v>
      </c>
      <c r="O24" s="594"/>
      <c r="P24" s="594"/>
      <c r="Q24" s="594"/>
      <c r="R24" s="594"/>
      <c r="S24" s="594"/>
      <c r="T24" s="594"/>
      <c r="U24" s="595"/>
      <c r="V24" s="67"/>
    </row>
    <row r="25" spans="1:23" ht="28" customHeight="1">
      <c r="B25" s="574" t="s">
        <v>228</v>
      </c>
      <c r="C25" s="575"/>
      <c r="D25" s="575"/>
      <c r="E25" s="575"/>
      <c r="F25" s="575"/>
      <c r="G25" s="575"/>
      <c r="H25" s="576"/>
      <c r="I25" s="576"/>
      <c r="J25" s="576"/>
      <c r="K25" s="576"/>
      <c r="L25" s="426" t="s">
        <v>82</v>
      </c>
      <c r="M25" s="439">
        <f>IF(ISERROR(VLOOKUP('DETAILED MODELLER - PERSON 1'!V6,'DETAILED MODELLER - PERSON 1'!C64:E93,2,FALSE)),"NOT FOUND",VLOOKUP('DETAILED MODELLER - PERSON 1'!V6,'DETAILED MODELLER - PERSON 1'!C64:E93,3,FALSE))*1000</f>
        <v>15219.625339135671</v>
      </c>
      <c r="N25" s="596"/>
      <c r="O25" s="596"/>
      <c r="P25" s="596"/>
      <c r="Q25" s="596"/>
      <c r="R25" s="596"/>
      <c r="S25" s="596"/>
      <c r="T25" s="596"/>
      <c r="U25" s="597"/>
      <c r="V25" s="67"/>
    </row>
    <row r="26" spans="1:23" ht="30" customHeight="1" thickBot="1">
      <c r="B26" s="151"/>
      <c r="C26" s="67"/>
      <c r="D26" s="67"/>
      <c r="E26" s="67"/>
      <c r="F26" s="67"/>
      <c r="G26" s="67"/>
      <c r="H26" s="67"/>
      <c r="I26" s="67"/>
      <c r="J26" s="67"/>
      <c r="K26" s="67"/>
      <c r="L26" s="67"/>
      <c r="M26" s="67"/>
      <c r="N26" s="598"/>
      <c r="O26" s="598"/>
      <c r="P26" s="598"/>
      <c r="Q26" s="598"/>
      <c r="R26" s="598"/>
      <c r="S26" s="598"/>
      <c r="T26" s="598"/>
      <c r="U26" s="599"/>
      <c r="V26" s="67"/>
    </row>
    <row r="27" spans="1:23" ht="27" customHeight="1" thickBot="1">
      <c r="B27" s="470" t="s">
        <v>245</v>
      </c>
      <c r="C27" s="471"/>
      <c r="D27" s="471"/>
      <c r="E27" s="471"/>
      <c r="F27" s="471"/>
      <c r="G27" s="471"/>
      <c r="H27" s="471"/>
      <c r="I27" s="471"/>
      <c r="J27" s="471"/>
      <c r="K27" s="471"/>
      <c r="L27" s="471"/>
      <c r="M27" s="471"/>
      <c r="N27" s="471"/>
      <c r="O27" s="471"/>
      <c r="P27" s="471"/>
      <c r="Q27" s="471"/>
      <c r="R27" s="471"/>
      <c r="S27" s="471"/>
      <c r="T27" s="471"/>
      <c r="U27" s="472"/>
      <c r="V27" s="67"/>
    </row>
    <row r="28" spans="1:23" ht="23" customHeight="1">
      <c r="B28" s="145"/>
      <c r="C28" s="146"/>
      <c r="D28" s="146"/>
      <c r="E28" s="146"/>
      <c r="F28" s="146"/>
      <c r="G28" s="146"/>
      <c r="H28" s="146"/>
      <c r="I28" s="146"/>
      <c r="J28" s="146"/>
      <c r="K28" s="146"/>
      <c r="L28" s="146"/>
      <c r="M28" s="146"/>
      <c r="N28" s="146"/>
      <c r="O28" s="146"/>
      <c r="P28" s="146"/>
      <c r="Q28" s="146"/>
      <c r="R28" s="432"/>
      <c r="S28" s="146"/>
      <c r="T28" s="146"/>
      <c r="U28" s="147"/>
      <c r="V28" s="67"/>
    </row>
    <row r="29" spans="1:23" ht="32" customHeight="1">
      <c r="B29" s="583" t="s">
        <v>221</v>
      </c>
      <c r="C29" s="584"/>
      <c r="D29" s="584"/>
      <c r="E29" s="584"/>
      <c r="F29" s="584"/>
      <c r="G29" s="584"/>
      <c r="H29" s="584"/>
      <c r="I29" s="584"/>
      <c r="J29" s="584"/>
      <c r="K29" s="497"/>
      <c r="L29" s="67"/>
      <c r="M29" s="436">
        <f>IF(ISERROR(VLOOKUP('DETAILED MODELLER - PERSON 1'!V6,'DETAILED MODELLER - PERSON 1'!C18:I47,7,FALSE)),"NOT FOUND",VLOOKUP('DETAILED MODELLER - PERSON 1'!V6,'DETAILED MODELLER - PERSON 1'!C18:I47,7,FALSE))</f>
        <v>17190.701443581122</v>
      </c>
      <c r="N29" s="560" t="s">
        <v>224</v>
      </c>
      <c r="O29" s="499"/>
      <c r="P29" s="499"/>
      <c r="Q29" s="499"/>
      <c r="R29" s="499"/>
      <c r="S29" s="499"/>
      <c r="T29" s="499"/>
      <c r="U29" s="500"/>
      <c r="V29" s="428"/>
      <c r="W29" s="428"/>
    </row>
    <row r="30" spans="1:23" ht="28" customHeight="1">
      <c r="B30" s="496" t="s">
        <v>225</v>
      </c>
      <c r="C30" s="497"/>
      <c r="D30" s="497"/>
      <c r="E30" s="497"/>
      <c r="F30" s="497"/>
      <c r="G30" s="497"/>
      <c r="H30" s="498"/>
      <c r="I30" s="498"/>
      <c r="J30" s="498"/>
      <c r="K30" s="498"/>
      <c r="L30" s="434" t="s">
        <v>218</v>
      </c>
      <c r="M30" s="440">
        <f>M25-M29</f>
        <v>-1971.0761044454503</v>
      </c>
      <c r="N30" s="191"/>
      <c r="O30" s="127"/>
      <c r="P30" s="127" t="s">
        <v>12</v>
      </c>
      <c r="Q30" s="67"/>
      <c r="R30" s="127" t="s">
        <v>12</v>
      </c>
      <c r="S30" s="67"/>
      <c r="T30" s="331"/>
      <c r="U30" s="148"/>
      <c r="V30" s="67"/>
    </row>
    <row r="31" spans="1:23" ht="30" customHeight="1">
      <c r="B31" s="491" t="s">
        <v>227</v>
      </c>
      <c r="C31" s="492"/>
      <c r="D31" s="492"/>
      <c r="E31" s="492"/>
      <c r="F31" s="492"/>
      <c r="G31" s="492"/>
      <c r="H31" s="493"/>
      <c r="I31" s="493"/>
      <c r="J31" s="493"/>
      <c r="K31" s="493"/>
      <c r="L31" s="434" t="s">
        <v>235</v>
      </c>
      <c r="M31" s="438">
        <f>M25/M29</f>
        <v>0.88534056560086238</v>
      </c>
      <c r="N31" s="494" t="s">
        <v>248</v>
      </c>
      <c r="O31" s="494"/>
      <c r="P31" s="494"/>
      <c r="Q31" s="494"/>
      <c r="R31" s="494"/>
      <c r="S31" s="494"/>
      <c r="T31" s="494"/>
      <c r="U31" s="495"/>
      <c r="V31" s="67"/>
    </row>
    <row r="32" spans="1:23" ht="15" customHeight="1">
      <c r="B32" s="430"/>
      <c r="C32" s="431"/>
      <c r="D32" s="431"/>
      <c r="E32" s="431"/>
      <c r="F32" s="431"/>
      <c r="G32" s="431"/>
      <c r="H32" s="431"/>
      <c r="I32" s="431"/>
      <c r="J32" s="431"/>
      <c r="K32" s="431"/>
      <c r="L32" s="67"/>
      <c r="M32" s="429"/>
      <c r="N32" s="67"/>
      <c r="O32" s="67"/>
      <c r="P32" s="67"/>
      <c r="Q32" s="67"/>
      <c r="R32" s="127"/>
      <c r="S32" s="67"/>
      <c r="T32" s="67"/>
      <c r="U32" s="148"/>
      <c r="V32" s="67"/>
    </row>
    <row r="33" spans="2:23" ht="28" customHeight="1">
      <c r="B33" s="496" t="s">
        <v>229</v>
      </c>
      <c r="C33" s="497"/>
      <c r="D33" s="497"/>
      <c r="E33" s="497"/>
      <c r="F33" s="497"/>
      <c r="G33" s="497"/>
      <c r="H33" s="498"/>
      <c r="I33" s="498"/>
      <c r="J33" s="498"/>
      <c r="K33" s="498"/>
      <c r="L33" s="67"/>
      <c r="M33" s="437">
        <f>IF(ISERROR(VLOOKUP('DETAILED MODELLER - PERSON 1'!V6,'DETAILED MODELLER - PERSON 1'!C98:D127,2,FALSE)),"NOT FOUND",VLOOKUP('DETAILED MODELLER - PERSON 1'!V6,'DETAILED MODELLER - PERSON 1'!C98:D127,2,FALSE))</f>
        <v>13248.549234690221</v>
      </c>
      <c r="N33" s="427"/>
      <c r="O33" s="67"/>
      <c r="P33" s="67"/>
      <c r="Q33" s="191"/>
      <c r="R33" s="67"/>
      <c r="S33" s="67"/>
      <c r="T33" s="67"/>
      <c r="U33" s="148"/>
      <c r="V33" s="67"/>
    </row>
    <row r="34" spans="2:23" ht="33" customHeight="1">
      <c r="B34" s="491" t="s">
        <v>240</v>
      </c>
      <c r="C34" s="492"/>
      <c r="D34" s="492"/>
      <c r="E34" s="492"/>
      <c r="F34" s="492"/>
      <c r="G34" s="492"/>
      <c r="H34" s="493"/>
      <c r="I34" s="493"/>
      <c r="J34" s="493"/>
      <c r="K34" s="493"/>
      <c r="M34" s="438">
        <f>IF(ISERROR(VLOOKUP('DETAILED MODELLER - PERSON 1'!V6,'DETAILED MODELLER - PERSON 1'!$C$98:$N$127,1,FALSE)),"-",VLOOKUP('DETAILED MODELLER - PERSON 1'!V6,'DETAILED MODELLER - PERSON 1'!$C$98:$N$127,12,FALSE))</f>
        <v>0.87049115464248428</v>
      </c>
      <c r="N34" s="494" t="s">
        <v>236</v>
      </c>
      <c r="O34" s="494"/>
      <c r="P34" s="494"/>
      <c r="Q34" s="494"/>
      <c r="R34" s="494"/>
      <c r="S34" s="494"/>
      <c r="T34" s="494"/>
      <c r="U34" s="495"/>
      <c r="V34" s="67"/>
    </row>
    <row r="35" spans="2:23" ht="14" customHeight="1">
      <c r="B35" s="430"/>
      <c r="C35" s="431"/>
      <c r="D35" s="431"/>
      <c r="E35" s="431"/>
      <c r="F35" s="431"/>
      <c r="G35" s="431"/>
      <c r="H35" s="431"/>
      <c r="I35" s="431"/>
      <c r="J35" s="431"/>
      <c r="K35" s="431"/>
      <c r="L35" s="67"/>
      <c r="M35" s="429"/>
      <c r="N35" s="67"/>
      <c r="O35" s="67"/>
      <c r="P35" s="67"/>
      <c r="Q35" s="67"/>
      <c r="R35" s="67"/>
      <c r="S35" s="67"/>
      <c r="T35" s="67"/>
      <c r="U35" s="148"/>
      <c r="V35" s="67"/>
    </row>
    <row r="36" spans="2:23" ht="28" customHeight="1">
      <c r="B36" s="580" t="s">
        <v>237</v>
      </c>
      <c r="C36" s="581"/>
      <c r="D36" s="581"/>
      <c r="E36" s="581"/>
      <c r="F36" s="581"/>
      <c r="G36" s="581"/>
      <c r="H36" s="582"/>
      <c r="I36" s="582"/>
      <c r="J36" s="582"/>
      <c r="K36" s="582"/>
      <c r="M36" s="441">
        <f>IF(ISERROR(VLOOKUP('DETAILED MODELLER - PERSON 1'!V6,'DETAILED MODELLER - PERSON 1'!C64:F93,4,FALSE)),"NOT FOUND",VLOOKUP('DETAILED MODELLER - PERSON 1'!V6,'DETAILED MODELLER - PERSON 1'!C64:F93,4,FALSE))*1000</f>
        <v>-6154.5921324458686</v>
      </c>
      <c r="N36" s="499" t="s">
        <v>238</v>
      </c>
      <c r="O36" s="499"/>
      <c r="P36" s="499"/>
      <c r="Q36" s="499"/>
      <c r="R36" s="499"/>
      <c r="S36" s="499"/>
      <c r="T36" s="499"/>
      <c r="U36" s="500"/>
      <c r="V36" s="428"/>
      <c r="W36" s="428"/>
    </row>
    <row r="37" spans="2:23" ht="21" customHeight="1" thickBot="1">
      <c r="B37" s="430"/>
      <c r="C37" s="431"/>
      <c r="D37" s="431"/>
      <c r="E37" s="431"/>
      <c r="F37" s="431"/>
      <c r="G37" s="431"/>
      <c r="H37" s="431"/>
      <c r="I37" s="431"/>
      <c r="J37" s="431"/>
      <c r="K37" s="431"/>
      <c r="L37" s="67"/>
      <c r="M37" s="429"/>
      <c r="N37" s="67"/>
      <c r="O37" s="67"/>
      <c r="P37" s="67"/>
      <c r="Q37" s="67"/>
      <c r="R37" s="67"/>
      <c r="S37" s="67"/>
      <c r="T37" s="67"/>
      <c r="U37" s="148"/>
      <c r="V37" s="67"/>
    </row>
    <row r="38" spans="2:23" ht="29" customHeight="1" thickBot="1">
      <c r="B38" s="591" t="s">
        <v>246</v>
      </c>
      <c r="C38" s="592"/>
      <c r="D38" s="592"/>
      <c r="E38" s="592"/>
      <c r="F38" s="592"/>
      <c r="G38" s="592"/>
      <c r="H38" s="592"/>
      <c r="I38" s="592"/>
      <c r="J38" s="592"/>
      <c r="K38" s="592"/>
      <c r="L38" s="592"/>
      <c r="M38" s="592"/>
      <c r="N38" s="592"/>
      <c r="O38" s="592"/>
      <c r="P38" s="592"/>
      <c r="Q38" s="592"/>
      <c r="R38" s="592"/>
      <c r="S38" s="592"/>
      <c r="T38" s="592"/>
      <c r="U38" s="593"/>
      <c r="V38" s="67"/>
    </row>
    <row r="39" spans="2:23" ht="15" customHeight="1">
      <c r="B39" s="430"/>
      <c r="C39" s="431"/>
      <c r="D39" s="431"/>
      <c r="E39" s="431"/>
      <c r="F39" s="431"/>
      <c r="G39" s="431"/>
      <c r="H39" s="431"/>
      <c r="I39" s="431"/>
      <c r="J39" s="431"/>
      <c r="K39" s="431"/>
      <c r="L39" s="67"/>
      <c r="M39" s="429"/>
      <c r="N39" s="67"/>
      <c r="O39" s="67"/>
      <c r="P39" s="67"/>
      <c r="Q39" s="67"/>
      <c r="R39" s="67"/>
      <c r="S39" s="67"/>
      <c r="T39" s="67"/>
      <c r="U39" s="148"/>
      <c r="V39" s="67"/>
    </row>
    <row r="40" spans="2:23" ht="28" customHeight="1">
      <c r="B40" s="496" t="s">
        <v>230</v>
      </c>
      <c r="C40" s="497"/>
      <c r="D40" s="497"/>
      <c r="E40" s="497"/>
      <c r="F40" s="497"/>
      <c r="G40" s="497"/>
      <c r="H40" s="498"/>
      <c r="I40" s="498"/>
      <c r="J40" s="498"/>
      <c r="K40" s="498"/>
      <c r="L40" s="67"/>
      <c r="M40" s="437">
        <f>D81</f>
        <v>15806.80651443372</v>
      </c>
      <c r="N40" s="191" t="s">
        <v>231</v>
      </c>
      <c r="O40" s="67"/>
      <c r="P40" s="67"/>
      <c r="Q40" s="67"/>
      <c r="R40" s="67"/>
      <c r="S40" s="67"/>
      <c r="T40" s="67"/>
      <c r="U40" s="148"/>
      <c r="V40" s="67"/>
    </row>
    <row r="41" spans="2:23" ht="24" customHeight="1">
      <c r="B41" s="496" t="s">
        <v>232</v>
      </c>
      <c r="C41" s="498"/>
      <c r="D41" s="498"/>
      <c r="E41" s="498"/>
      <c r="F41" s="498"/>
      <c r="G41" s="498"/>
      <c r="H41" s="498"/>
      <c r="I41" s="498"/>
      <c r="J41" s="498"/>
      <c r="K41" s="498"/>
      <c r="L41" s="67"/>
      <c r="M41" s="437">
        <f>G81</f>
        <v>24552.55482999876</v>
      </c>
      <c r="N41" s="191" t="s">
        <v>233</v>
      </c>
      <c r="O41" s="67"/>
      <c r="P41" s="67"/>
      <c r="Q41" s="67"/>
      <c r="R41" s="67"/>
      <c r="S41" s="67"/>
      <c r="T41" s="67"/>
      <c r="U41" s="148"/>
      <c r="V41" s="67"/>
    </row>
    <row r="42" spans="2:23" ht="31" customHeight="1">
      <c r="B42" s="496" t="s">
        <v>247</v>
      </c>
      <c r="C42" s="497"/>
      <c r="D42" s="497"/>
      <c r="E42" s="497"/>
      <c r="F42" s="497"/>
      <c r="G42" s="497"/>
      <c r="H42" s="498"/>
      <c r="I42" s="498"/>
      <c r="J42" s="498"/>
      <c r="K42" s="498"/>
      <c r="M42" s="438">
        <f>M40/M41</f>
        <v>0.64379477508062311</v>
      </c>
      <c r="N42" s="494" t="s">
        <v>249</v>
      </c>
      <c r="O42" s="494"/>
      <c r="P42" s="494"/>
      <c r="Q42" s="494"/>
      <c r="R42" s="494"/>
      <c r="S42" s="494"/>
      <c r="T42" s="494"/>
      <c r="U42" s="495"/>
      <c r="V42" s="67"/>
    </row>
    <row r="43" spans="2:23" ht="13" customHeight="1">
      <c r="B43" s="150"/>
      <c r="C43" s="144"/>
      <c r="D43" s="144"/>
      <c r="E43" s="144"/>
      <c r="F43" s="144"/>
      <c r="G43" s="144"/>
      <c r="H43" s="144"/>
      <c r="I43" s="144"/>
      <c r="J43" s="144"/>
      <c r="K43" s="144"/>
      <c r="L43" s="67"/>
      <c r="M43" s="429"/>
      <c r="N43" s="191"/>
      <c r="O43" s="67"/>
      <c r="P43" s="67"/>
      <c r="Q43" s="67"/>
      <c r="R43" s="67"/>
      <c r="S43" s="67"/>
      <c r="T43" s="67"/>
      <c r="U43" s="148"/>
      <c r="V43" s="67"/>
    </row>
    <row r="44" spans="2:23" ht="28" customHeight="1">
      <c r="B44" s="588" t="s">
        <v>244</v>
      </c>
      <c r="C44" s="589"/>
      <c r="D44" s="589"/>
      <c r="E44" s="589"/>
      <c r="F44" s="589"/>
      <c r="G44" s="589"/>
      <c r="H44" s="590"/>
      <c r="I44" s="590"/>
      <c r="J44" s="590"/>
      <c r="K44" s="590"/>
      <c r="L44" s="67"/>
      <c r="M44" s="435">
        <f>IF(ISERROR(VLOOKUP(84,'DETAILED MODELLER - PERSON 1'!$B$98:$N$127,1,FALSE)),"-",VLOOKUP(84,'DETAILED MODELLER - PERSON 1'!$B$98:$N$127,3,FALSE))</f>
        <v>7061.058198868679</v>
      </c>
      <c r="N44" s="427"/>
      <c r="O44" s="67"/>
      <c r="P44" s="67"/>
      <c r="Q44" s="191"/>
      <c r="R44" s="67"/>
      <c r="S44" s="67"/>
      <c r="T44" s="67"/>
      <c r="U44" s="148"/>
      <c r="V44" s="67"/>
    </row>
    <row r="45" spans="2:23" ht="35" customHeight="1">
      <c r="B45" s="585" t="s">
        <v>242</v>
      </c>
      <c r="C45" s="586"/>
      <c r="D45" s="586"/>
      <c r="E45" s="586"/>
      <c r="F45" s="586"/>
      <c r="G45" s="586"/>
      <c r="H45" s="587"/>
      <c r="I45" s="587"/>
      <c r="J45" s="587"/>
      <c r="K45" s="587"/>
      <c r="M45" s="449">
        <f>IF(ISERROR(VLOOKUP(84,'DETAILED MODELLER - PERSON 1'!$B$98:$N$127,1,FALSE)),"-",VLOOKUP(84,'DETAILED MODELLER - PERSON 1'!$B$98:$N$127,13,FALSE))</f>
        <v>0.44670997854126909</v>
      </c>
      <c r="N45" s="494" t="s">
        <v>236</v>
      </c>
      <c r="O45" s="494"/>
      <c r="P45" s="494"/>
      <c r="Q45" s="494"/>
      <c r="R45" s="494"/>
      <c r="S45" s="494"/>
      <c r="T45" s="494"/>
      <c r="U45" s="495"/>
      <c r="V45" s="67"/>
    </row>
    <row r="46" spans="2:23" ht="13" customHeight="1">
      <c r="B46" s="150"/>
      <c r="C46" s="144"/>
      <c r="D46" s="144"/>
      <c r="E46" s="144"/>
      <c r="F46" s="144"/>
      <c r="G46" s="144"/>
      <c r="H46" s="144"/>
      <c r="I46" s="144"/>
      <c r="J46" s="144"/>
      <c r="K46" s="144"/>
      <c r="L46" s="67"/>
      <c r="M46" s="429"/>
      <c r="N46" s="191"/>
      <c r="O46" s="67"/>
      <c r="P46" s="67"/>
      <c r="Q46" s="67"/>
      <c r="R46" s="67"/>
      <c r="S46" s="67"/>
      <c r="T46" s="67"/>
      <c r="U46" s="148"/>
      <c r="V46" s="67"/>
    </row>
    <row r="47" spans="2:23" ht="28" customHeight="1">
      <c r="B47" s="577" t="s">
        <v>234</v>
      </c>
      <c r="C47" s="578"/>
      <c r="D47" s="578"/>
      <c r="E47" s="578"/>
      <c r="F47" s="578"/>
      <c r="G47" s="578"/>
      <c r="H47" s="579"/>
      <c r="I47" s="579"/>
      <c r="J47" s="579"/>
      <c r="K47" s="579"/>
      <c r="M47" s="440">
        <f>K81</f>
        <v>-102110.87539787471</v>
      </c>
      <c r="N47" s="67"/>
      <c r="O47" s="67"/>
      <c r="P47" s="67"/>
      <c r="Q47" s="67"/>
      <c r="R47" s="67"/>
      <c r="S47" s="67"/>
      <c r="T47" s="67"/>
      <c r="U47" s="148"/>
      <c r="V47" s="67"/>
    </row>
    <row r="48" spans="2:23" ht="19">
      <c r="B48" s="150"/>
      <c r="C48" s="144"/>
      <c r="D48" s="144"/>
      <c r="E48" s="144"/>
      <c r="F48" s="144"/>
      <c r="G48" s="144"/>
      <c r="H48" s="144"/>
      <c r="I48" s="144"/>
      <c r="J48" s="144"/>
      <c r="K48" s="144"/>
      <c r="L48" s="67"/>
      <c r="M48" s="429"/>
      <c r="N48" s="67"/>
      <c r="O48" s="67"/>
      <c r="P48" s="67"/>
      <c r="Q48" s="67"/>
      <c r="R48" s="67"/>
      <c r="S48" s="67"/>
      <c r="T48" s="67"/>
      <c r="U48" s="148"/>
      <c r="V48" s="67"/>
    </row>
    <row r="49" spans="2:22" ht="26" customHeight="1">
      <c r="B49" s="568" t="s">
        <v>239</v>
      </c>
      <c r="C49" s="569"/>
      <c r="D49" s="569"/>
      <c r="E49" s="569"/>
      <c r="F49" s="569"/>
      <c r="G49" s="569"/>
      <c r="H49" s="569"/>
      <c r="I49" s="569"/>
      <c r="J49" s="569"/>
      <c r="K49" s="569"/>
      <c r="L49" s="67"/>
      <c r="M49" s="450">
        <f>M56</f>
        <v>2</v>
      </c>
      <c r="N49" s="433" t="s">
        <v>250</v>
      </c>
      <c r="O49" s="67"/>
      <c r="P49" s="67"/>
      <c r="Q49" s="67"/>
      <c r="R49" s="67"/>
      <c r="S49" s="67"/>
      <c r="T49" s="67"/>
      <c r="U49" s="148"/>
      <c r="V49" s="67"/>
    </row>
    <row r="50" spans="2:22" ht="16">
      <c r="B50" s="151"/>
      <c r="C50" s="67"/>
      <c r="D50" s="67"/>
      <c r="E50" s="67"/>
      <c r="F50" s="67"/>
      <c r="G50" s="67"/>
      <c r="H50" s="67"/>
      <c r="I50" s="67"/>
      <c r="J50" s="67"/>
      <c r="K50" s="67"/>
      <c r="L50" s="67"/>
      <c r="M50" s="67"/>
      <c r="N50" s="567" t="s">
        <v>185</v>
      </c>
      <c r="O50" s="567"/>
      <c r="P50" s="567"/>
      <c r="Q50" s="567"/>
      <c r="R50" s="567"/>
      <c r="S50" s="67"/>
      <c r="T50" s="67"/>
      <c r="U50" s="148"/>
    </row>
    <row r="51" spans="2:22" ht="20" thickBot="1">
      <c r="B51" s="205"/>
      <c r="C51" s="206"/>
      <c r="D51" s="206"/>
      <c r="E51" s="206"/>
      <c r="F51" s="206"/>
      <c r="G51" s="206"/>
      <c r="H51" s="206"/>
      <c r="I51" s="206"/>
      <c r="J51" s="206"/>
      <c r="K51" s="206"/>
      <c r="L51" s="206"/>
      <c r="M51" s="207"/>
      <c r="N51" s="207"/>
      <c r="O51" s="208"/>
      <c r="P51" s="209"/>
      <c r="Q51" s="152"/>
      <c r="R51" s="152"/>
      <c r="S51" s="152"/>
      <c r="T51" s="152"/>
      <c r="U51" s="153"/>
      <c r="V51" s="67"/>
    </row>
    <row r="52" spans="2:22" ht="20" customHeight="1" thickBot="1">
      <c r="V52" s="67"/>
    </row>
    <row r="53" spans="2:22" ht="32" thickBot="1">
      <c r="B53" s="564" t="s">
        <v>251</v>
      </c>
      <c r="C53" s="565"/>
      <c r="D53" s="565"/>
      <c r="E53" s="565"/>
      <c r="F53" s="565"/>
      <c r="G53" s="565"/>
      <c r="H53" s="565"/>
      <c r="I53" s="565"/>
      <c r="J53" s="565"/>
      <c r="K53" s="565"/>
      <c r="L53" s="565"/>
      <c r="M53" s="565"/>
      <c r="N53" s="565"/>
      <c r="O53" s="565"/>
      <c r="P53" s="565"/>
      <c r="Q53" s="565"/>
      <c r="R53" s="565"/>
      <c r="S53" s="565"/>
      <c r="T53" s="565"/>
      <c r="U53" s="566"/>
    </row>
    <row r="54" spans="2:22" ht="33" customHeight="1" thickBot="1">
      <c r="D54" s="570" t="s">
        <v>127</v>
      </c>
      <c r="E54" s="571"/>
      <c r="F54" s="571"/>
      <c r="G54" s="571"/>
      <c r="H54" s="571"/>
      <c r="I54" s="571"/>
      <c r="J54" s="571"/>
      <c r="K54" s="571"/>
      <c r="L54" s="571"/>
      <c r="M54" s="571"/>
      <c r="N54" s="571"/>
      <c r="O54" s="571"/>
      <c r="P54" s="571"/>
      <c r="Q54" s="571"/>
      <c r="R54" s="571"/>
      <c r="S54" s="572"/>
    </row>
    <row r="55" spans="2:22">
      <c r="B55" s="67"/>
      <c r="C55" s="67"/>
      <c r="D55" s="67"/>
      <c r="E55" s="67"/>
      <c r="F55" s="67"/>
      <c r="G55" s="67"/>
      <c r="H55" s="67"/>
      <c r="I55" s="67"/>
      <c r="J55" s="67"/>
      <c r="K55" s="67"/>
      <c r="L55" s="67"/>
      <c r="M55" s="67"/>
      <c r="N55" s="67"/>
      <c r="O55" s="67"/>
      <c r="P55" s="67"/>
      <c r="Q55" s="67"/>
      <c r="R55" s="67"/>
      <c r="S55" s="67"/>
      <c r="T55" s="67"/>
      <c r="U55" s="67"/>
    </row>
    <row r="56" spans="2:22" ht="29" customHeight="1">
      <c r="E56" s="507" t="s">
        <v>222</v>
      </c>
      <c r="F56" s="507"/>
      <c r="G56" s="507"/>
      <c r="H56" s="507"/>
      <c r="I56" s="507"/>
      <c r="J56" s="507"/>
      <c r="K56" s="508"/>
      <c r="L56" s="424" t="s">
        <v>48</v>
      </c>
      <c r="M56" s="330">
        <v>2</v>
      </c>
      <c r="N56" s="185" t="s">
        <v>57</v>
      </c>
    </row>
    <row r="57" spans="2:22" ht="29" customHeight="1" thickBot="1"/>
    <row r="58" spans="2:22" ht="29" customHeight="1" thickBot="1">
      <c r="D58" s="512" t="s">
        <v>152</v>
      </c>
      <c r="E58" s="513"/>
      <c r="F58" s="513"/>
      <c r="G58" s="513"/>
      <c r="H58" s="513"/>
      <c r="I58" s="513"/>
      <c r="J58" s="513"/>
      <c r="K58" s="513"/>
      <c r="L58" s="513"/>
      <c r="M58" s="513"/>
      <c r="N58" s="513"/>
      <c r="O58" s="513"/>
      <c r="P58" s="513"/>
      <c r="Q58" s="513"/>
      <c r="R58" s="513"/>
      <c r="S58" s="514"/>
    </row>
    <row r="59" spans="2:22" ht="29" customHeight="1" thickBot="1"/>
    <row r="60" spans="2:22" ht="15" customHeight="1">
      <c r="B60" s="501" t="s">
        <v>179</v>
      </c>
      <c r="C60" s="502"/>
      <c r="D60" s="502"/>
      <c r="E60" s="502"/>
      <c r="F60" s="502"/>
      <c r="G60" s="502"/>
      <c r="H60" s="502"/>
      <c r="I60" s="502"/>
      <c r="J60" s="502"/>
      <c r="K60" s="503"/>
      <c r="M60" s="481" t="s">
        <v>181</v>
      </c>
      <c r="N60" s="482"/>
      <c r="O60" s="482"/>
      <c r="P60" s="482"/>
      <c r="Q60" s="482"/>
      <c r="R60" s="482"/>
      <c r="S60" s="482"/>
      <c r="T60" s="482"/>
      <c r="U60" s="482"/>
      <c r="V60" s="483"/>
    </row>
    <row r="61" spans="2:22" ht="15" customHeight="1" thickBot="1">
      <c r="B61" s="504"/>
      <c r="C61" s="505"/>
      <c r="D61" s="505"/>
      <c r="E61" s="505"/>
      <c r="F61" s="505"/>
      <c r="G61" s="505"/>
      <c r="H61" s="505"/>
      <c r="I61" s="505"/>
      <c r="J61" s="505"/>
      <c r="K61" s="506"/>
      <c r="M61" s="484"/>
      <c r="N61" s="485"/>
      <c r="O61" s="485"/>
      <c r="P61" s="485"/>
      <c r="Q61" s="485"/>
      <c r="R61" s="485"/>
      <c r="S61" s="485"/>
      <c r="T61" s="485"/>
      <c r="U61" s="485"/>
      <c r="V61" s="486"/>
    </row>
    <row r="62" spans="2:22" ht="47" customHeight="1">
      <c r="B62" s="501" t="s">
        <v>180</v>
      </c>
      <c r="C62" s="502"/>
      <c r="D62" s="502"/>
      <c r="E62" s="502"/>
      <c r="F62" s="502"/>
      <c r="G62" s="502"/>
      <c r="H62" s="502"/>
      <c r="I62" s="502"/>
      <c r="J62" s="502"/>
      <c r="K62" s="503"/>
      <c r="M62" s="518" t="s">
        <v>129</v>
      </c>
      <c r="N62" s="519"/>
      <c r="O62" s="522" t="s">
        <v>130</v>
      </c>
      <c r="P62" s="523"/>
      <c r="Q62" s="522" t="s">
        <v>131</v>
      </c>
      <c r="R62" s="523"/>
      <c r="S62" s="526" t="s">
        <v>132</v>
      </c>
      <c r="T62" s="527"/>
      <c r="U62" s="487" t="s">
        <v>134</v>
      </c>
      <c r="V62" s="488"/>
    </row>
    <row r="63" spans="2:22" ht="34" customHeight="1" thickBot="1">
      <c r="B63" s="509"/>
      <c r="C63" s="510"/>
      <c r="D63" s="510"/>
      <c r="E63" s="510"/>
      <c r="F63" s="510"/>
      <c r="G63" s="510"/>
      <c r="H63" s="510"/>
      <c r="I63" s="510"/>
      <c r="J63" s="510"/>
      <c r="K63" s="511"/>
      <c r="M63" s="520"/>
      <c r="N63" s="521"/>
      <c r="O63" s="524"/>
      <c r="P63" s="525"/>
      <c r="Q63" s="524"/>
      <c r="R63" s="525"/>
      <c r="S63" s="528"/>
      <c r="T63" s="529"/>
      <c r="U63" s="489"/>
      <c r="V63" s="490"/>
    </row>
    <row r="64" spans="2:22" ht="73" customHeight="1" thickBot="1">
      <c r="B64" s="504"/>
      <c r="C64" s="505"/>
      <c r="D64" s="505"/>
      <c r="E64" s="505"/>
      <c r="F64" s="505"/>
      <c r="G64" s="505"/>
      <c r="H64" s="505"/>
      <c r="I64" s="505"/>
      <c r="J64" s="505"/>
      <c r="K64" s="506"/>
      <c r="M64" s="554" t="s">
        <v>105</v>
      </c>
      <c r="N64" s="555"/>
      <c r="O64" s="535" t="s">
        <v>98</v>
      </c>
      <c r="P64" s="536"/>
      <c r="Q64" s="535" t="s">
        <v>100</v>
      </c>
      <c r="R64" s="536"/>
      <c r="S64" s="558" t="s">
        <v>99</v>
      </c>
      <c r="T64" s="559"/>
      <c r="U64" s="556" t="s">
        <v>101</v>
      </c>
      <c r="V64" s="557"/>
    </row>
    <row r="65" spans="2:22" ht="28" customHeight="1" thickBot="1">
      <c r="N65" s="37"/>
    </row>
    <row r="66" spans="2:22" ht="86" thickBot="1">
      <c r="B66" s="280" t="s">
        <v>0</v>
      </c>
      <c r="C66" s="280" t="s">
        <v>91</v>
      </c>
      <c r="D66" s="30" t="s">
        <v>86</v>
      </c>
      <c r="E66" s="30" t="s">
        <v>122</v>
      </c>
      <c r="F66" s="192"/>
      <c r="G66" s="167" t="s">
        <v>121</v>
      </c>
      <c r="H66" s="167" t="s">
        <v>123</v>
      </c>
      <c r="I66" s="192"/>
      <c r="J66" s="281" t="s">
        <v>135</v>
      </c>
      <c r="K66" s="281" t="s">
        <v>126</v>
      </c>
      <c r="L66" s="67"/>
      <c r="M66" s="285" t="s">
        <v>140</v>
      </c>
      <c r="N66" s="286" t="s">
        <v>141</v>
      </c>
      <c r="O66" s="287" t="s">
        <v>140</v>
      </c>
      <c r="P66" s="288" t="s">
        <v>141</v>
      </c>
      <c r="Q66" s="287" t="s">
        <v>140</v>
      </c>
      <c r="R66" s="288" t="s">
        <v>141</v>
      </c>
      <c r="S66" s="289" t="s">
        <v>140</v>
      </c>
      <c r="T66" s="290" t="s">
        <v>141</v>
      </c>
      <c r="U66" s="292" t="s">
        <v>140</v>
      </c>
      <c r="V66" s="293" t="s">
        <v>141</v>
      </c>
    </row>
    <row r="67" spans="2:22">
      <c r="L67" s="67"/>
      <c r="N67" s="67"/>
      <c r="O67" s="67"/>
      <c r="P67" s="67"/>
      <c r="Q67" s="67"/>
      <c r="R67" s="67"/>
      <c r="S67" s="67"/>
      <c r="T67" s="67"/>
      <c r="U67" s="67"/>
    </row>
    <row r="68" spans="2:22">
      <c r="B68" s="67"/>
      <c r="C68" s="67"/>
      <c r="D68" s="67"/>
      <c r="E68" s="67"/>
      <c r="F68" s="67"/>
      <c r="G68" s="67"/>
      <c r="H68" s="67"/>
      <c r="I68" s="67"/>
      <c r="J68" s="67"/>
      <c r="K68" s="67"/>
      <c r="L68" s="67"/>
      <c r="N68" s="67"/>
      <c r="O68" s="67"/>
      <c r="P68" s="67"/>
      <c r="Q68" s="67"/>
      <c r="R68" s="67"/>
      <c r="S68" s="67"/>
      <c r="T68" s="67"/>
      <c r="U68" s="67"/>
    </row>
    <row r="69" spans="2:22" ht="19">
      <c r="B69" s="236" t="str">
        <f>IF(ISERROR(VLOOKUP(C69,'DETAILED MODELLER - PERSON 1'!$D$18:$AW$47,1,FALSE)),"-",VLOOKUP(C69,'DETAILED MODELLER - PERSON 1'!$D$18:$AW$47,9,FALSE))</f>
        <v>-</v>
      </c>
      <c r="C69" s="236">
        <v>55</v>
      </c>
      <c r="D69" s="275" t="str">
        <f>IF(ISERROR(VLOOKUP(C69,'DETAILED MODELLER - PERSON 1'!$D$18:$AW$47,1,FALSE)),"-",VLOOKUP(C69,'DETAILED MODELLER - PERSON 1'!$D$18:$AW$47,12,FALSE))</f>
        <v>-</v>
      </c>
      <c r="E69" s="275" t="str">
        <f>IF(ISERROR(VLOOKUP(C69,'DETAILED MODELLER - PERSON 1'!$D$18:$AW$47,1,FALSE)),"-",VLOOKUP(C69,'DETAILED MODELLER - PERSON 1'!$D$18:$AW$47,13,FALSE))</f>
        <v>-</v>
      </c>
      <c r="G69" s="277" t="str">
        <f>IF(ISERROR(VLOOKUP(C69,'DETAILED MODELLER - PERSON 1'!$D$18:$AW$47,1,FALSE)),"-",VLOOKUP(C69,'DETAILED MODELLER - PERSON 1'!$D$18:$AW$47,6,FALSE))</f>
        <v>-</v>
      </c>
      <c r="H69" s="277" t="str">
        <f>IF(ISERROR(VLOOKUP(C69,'DETAILED MODELLER - PERSON 1'!$B$98:$P$127,1,FALSE)),"-",VLOOKUP(C69,'DETAILED MODELLER - PERSON 1'!$B$98:$P$127,12,FALSE))</f>
        <v>-</v>
      </c>
      <c r="J69" s="275" t="str">
        <f>IF(ISERROR(VLOOKUP(C69,'DETAILED MODELLER - PERSON 1'!$D$18:$AW$47,1,FALSE)),"-",VLOOKUP(C69,'DETAILED MODELLER - PERSON 1'!$D$18:$AW$47,14,FALSE))</f>
        <v>-</v>
      </c>
      <c r="K69" s="277" t="str">
        <f>IF(ISERROR(VLOOKUP(C69,'DETAILED MODELLER - PERSON 1'!$D$18:$AW$47,1,FALSE)),"-",VLOOKUP(C69,'DETAILED MODELLER - PERSON 1'!$D$18:$AW$47,15,FALSE))</f>
        <v>-</v>
      </c>
      <c r="L69" s="67"/>
      <c r="M69" s="282" t="str">
        <f>IF(ISERROR(VLOOKUP($C$69,'DETAILED MODELLER - PERSON 1'!$AY$18:$BS$47,1,FALSE)),"-",VLOOKUP($C$69,'DETAILED MODELLER - PERSON 1'!$AY$18:$BS$47,3,FALSE))</f>
        <v>-</v>
      </c>
      <c r="N69" s="282" t="str">
        <f>IF(ISERROR(VLOOKUP($C$69,'DETAILED MODELLER - PERSON 1'!$AY$18:$BS$47,1,FALSE)),"-",VLOOKUP($C$69,'DETAILED MODELLER - PERSON 1'!$AY$18:$BS$47,5,FALSE))</f>
        <v>-</v>
      </c>
      <c r="O69" s="283" t="str">
        <f>IF(ISERROR(VLOOKUP(C69,'DETAILED MODELLER - PERSON 1'!$AY$18:$BS$47,1,FALSE)),"-",VLOOKUP(C69,'DETAILED MODELLER - PERSON 1'!$AY$18:$BS$47,7,FALSE))</f>
        <v>-</v>
      </c>
      <c r="P69" s="283" t="str">
        <f>IF(ISERROR(VLOOKUP(C69,'DETAILED MODELLER - PERSON 1'!$AY$18:$BR$47,1,FALSE)),"-",VLOOKUP(C69,'DETAILED MODELLER - PERSON 1'!$AY$18:$BR$47,9,FALSE))</f>
        <v>-</v>
      </c>
      <c r="Q69" s="283" t="str">
        <f>IF(ISERROR(VLOOKUP(C69,'DETAILED MODELLER - PERSON 1'!$AY$18:$BR$47,1,FALSE)),"-",VLOOKUP(C69,'DETAILED MODELLER - PERSON 1'!$AY$18:$BR$47,11,FALSE))</f>
        <v>-</v>
      </c>
      <c r="R69" s="283" t="str">
        <f>IF(ISERROR(VLOOKUP(C69,'DETAILED MODELLER - PERSON 1'!$AY$18:$BR$47,1,FALSE)),"-",VLOOKUP(C69,'DETAILED MODELLER - PERSON 1'!$AY$18:$BR$47,13,FALSE))</f>
        <v>-</v>
      </c>
      <c r="S69" s="274" t="str">
        <f>IF(ISERROR(VLOOKUP(C69,'DETAILED MODELLER - PERSON 1'!$AY$18:$BR$47,1,FALSE)),"-",VLOOKUP(C69,'DETAILED MODELLER - PERSON 1'!$AY$18:$BR$47,15,FALSE))</f>
        <v>-</v>
      </c>
      <c r="T69" s="274" t="str">
        <f>IF(ISERROR(VLOOKUP(C69,'DETAILED MODELLER - PERSON 1'!$AY$18:$BR$47,1,FALSE)),"-",VLOOKUP(C69,'DETAILED MODELLER - PERSON 1'!$AY$18:$BR$47,17,FALSE))</f>
        <v>-</v>
      </c>
      <c r="U69" s="284" t="str">
        <f>IF(ISERROR(VLOOKUP(C69,'DETAILED MODELLER - PERSON 1'!$AY$18:$BR$47,1,FALSE)),"-",VLOOKUP(C69,'DETAILED MODELLER - PERSON 1'!$AY$18:$BR$47,19,FALSE))</f>
        <v>-</v>
      </c>
      <c r="V69" s="284" t="str">
        <f>IF(ISERROR(VLOOKUP(C69,'DETAILED MODELLER - PERSON 1'!$AY$18:$BS$47,1,FALSE)),"-",VLOOKUP(C69,'DETAILED MODELLER - PERSON 1'!$AY$18:$BS$47,21,FALSE))</f>
        <v>-</v>
      </c>
    </row>
    <row r="70" spans="2:22" ht="19">
      <c r="B70" s="190"/>
      <c r="C70" s="190"/>
      <c r="D70" s="276"/>
      <c r="E70" s="276"/>
      <c r="G70" s="276"/>
      <c r="H70" s="276"/>
      <c r="J70" s="276"/>
      <c r="K70" s="276"/>
      <c r="N70" s="67"/>
      <c r="P70" s="67"/>
      <c r="Q70" s="67"/>
      <c r="R70" s="67"/>
      <c r="S70" s="67"/>
      <c r="T70" s="67"/>
      <c r="U70" s="67"/>
    </row>
    <row r="71" spans="2:22" ht="19">
      <c r="B71" s="236" t="str">
        <f>IF(ISERROR(VLOOKUP(C71,'DETAILED MODELLER - PERSON 1'!$D$18:$AW$47,1,FALSE)),"-",VLOOKUP(C71,'DETAILED MODELLER - PERSON 1'!$D$18:$AW$47,9,FALSE))</f>
        <v>-</v>
      </c>
      <c r="C71" s="236">
        <v>60</v>
      </c>
      <c r="D71" s="275" t="str">
        <f>IF(ISERROR(VLOOKUP(C71,'DETAILED MODELLER - PERSON 1'!$D$18:$AW$47,1,FALSE)),"-",VLOOKUP(C71,'DETAILED MODELLER - PERSON 1'!$D$18:$AW$47,12,FALSE))</f>
        <v>-</v>
      </c>
      <c r="E71" s="275" t="str">
        <f>IF(ISERROR(VLOOKUP(C71,'DETAILED MODELLER - PERSON 1'!$D$18:$AW$47,1,FALSE)),"-",VLOOKUP(C71,'DETAILED MODELLER - PERSON 1'!$D$18:$AW$47,13,FALSE))</f>
        <v>-</v>
      </c>
      <c r="G71" s="277" t="str">
        <f>IF(ISERROR(VLOOKUP(C71,'DETAILED MODELLER - PERSON 1'!$D$18:$AW$47,1,FALSE)),"-",VLOOKUP(C71,'DETAILED MODELLER - PERSON 1'!$D$18:$AW$47,6,FALSE))</f>
        <v>-</v>
      </c>
      <c r="H71" s="277" t="str">
        <f>IF(ISERROR(VLOOKUP(C71,'DETAILED MODELLER - PERSON 1'!$B$98:$P$127,1,FALSE)),"-",VLOOKUP(C71,'DETAILED MODELLER - PERSON 1'!$B$98:$P$127,12,FALSE))</f>
        <v>-</v>
      </c>
      <c r="I71" s="276"/>
      <c r="J71" s="277" t="str">
        <f>IF(ISERROR(VLOOKUP(C71,'DETAILED MODELLER - PERSON 1'!$D$18:$AW$47,1,FALSE)),"-",VLOOKUP(C71,'DETAILED MODELLER - PERSON 1'!$D$18:$AW$47,14,FALSE))</f>
        <v>-</v>
      </c>
      <c r="K71" s="277" t="str">
        <f>IF(ISERROR(VLOOKUP(C71,'DETAILED MODELLER - PERSON 1'!$D$18:$AW$47,1,FALSE)),"-",VLOOKUP(C71,'DETAILED MODELLER - PERSON 1'!$D$18:$AW$47,15,FALSE))</f>
        <v>-</v>
      </c>
      <c r="M71" s="282" t="str">
        <f>IF(ISERROR(VLOOKUP(C71,'DETAILED MODELLER - PERSON 1'!$AY$18:$BS$47,1,FALSE)),"-",VLOOKUP(C71,'DETAILED MODELLER - PERSON 1'!$AY$18:$BS$47,3,FALSE))</f>
        <v>-</v>
      </c>
      <c r="N71" s="282" t="str">
        <f>IF(ISERROR(VLOOKUP($C$71,'DETAILED MODELLER - PERSON 1'!$AY$18:$BS$47,1,FALSE)),"-",VLOOKUP($C$71,'DETAILED MODELLER - PERSON 1'!$AY$18:$BS$47,5,FALSE))</f>
        <v>-</v>
      </c>
      <c r="O71" s="283" t="str">
        <f>IF(ISERROR(VLOOKUP(C71,'DETAILED MODELLER - PERSON 1'!$AY$18:$BR$47,1,FALSE)),"-",VLOOKUP(C71,'DETAILED MODELLER - PERSON 1'!$AY$18:$BR$47,7,FALSE))</f>
        <v>-</v>
      </c>
      <c r="P71" s="283" t="str">
        <f>IF(ISERROR(VLOOKUP(C71,'DETAILED MODELLER - PERSON 1'!$AY$18:$BR$47,1,FALSE)),"-",VLOOKUP(C71,'DETAILED MODELLER - PERSON 1'!$AY$18:$BR$47,9,FALSE))</f>
        <v>-</v>
      </c>
      <c r="Q71" s="283" t="str">
        <f>IF(ISERROR(VLOOKUP(C71,'DETAILED MODELLER - PERSON 1'!$AY$18:$BR$47,1,FALSE)),"-",VLOOKUP(C71,'DETAILED MODELLER - PERSON 1'!$AY$18:$BR$47,11,FALSE))</f>
        <v>-</v>
      </c>
      <c r="R71" s="283" t="str">
        <f>IF(ISERROR(VLOOKUP(C71,'DETAILED MODELLER - PERSON 1'!$AY$18:$BR$47,1,FALSE)),"-",VLOOKUP(C71,'DETAILED MODELLER - PERSON 1'!$AY$18:$BR$47,13,FALSE))</f>
        <v>-</v>
      </c>
      <c r="S71" s="274" t="str">
        <f>IF(ISERROR(VLOOKUP(C71,'DETAILED MODELLER - PERSON 1'!$AY$18:$BR$47,1,FALSE)),"-",VLOOKUP(C71,'DETAILED MODELLER - PERSON 1'!$AY$18:$BR$47,15,FALSE))</f>
        <v>-</v>
      </c>
      <c r="T71" s="274" t="str">
        <f>IF(ISERROR(VLOOKUP(C71,'DETAILED MODELLER - PERSON 1'!$AY$18:$BR$47,1,FALSE)),"-",VLOOKUP(C71,'DETAILED MODELLER - PERSON 1'!$AY$18:$BR$47,17,FALSE))</f>
        <v>-</v>
      </c>
      <c r="U71" s="284" t="str">
        <f>IF(ISERROR(VLOOKUP(C71,'DETAILED MODELLER - PERSON 1'!$AY$18:$BR$47,1,FALSE)),"-",VLOOKUP(C71,'DETAILED MODELLER - PERSON 1'!$AY$18:$BR$47,19,FALSE))</f>
        <v>-</v>
      </c>
      <c r="V71" s="284" t="str">
        <f>IF(ISERROR(VLOOKUP(C71,'DETAILED MODELLER - PERSON 1'!$AY$18:$BS$47,1,FALSE)),"-",VLOOKUP(C71,'DETAILED MODELLER - PERSON 1'!$AY$18:$BS$47,21,FALSE))</f>
        <v>-</v>
      </c>
    </row>
    <row r="72" spans="2:22" ht="19">
      <c r="B72" s="190"/>
      <c r="C72" s="190"/>
      <c r="D72" s="276"/>
      <c r="E72" s="276"/>
      <c r="G72" s="276"/>
      <c r="H72" s="276"/>
      <c r="J72" s="276"/>
      <c r="K72" s="276"/>
      <c r="N72" s="67"/>
      <c r="P72" s="67"/>
      <c r="R72" s="67"/>
      <c r="T72" s="67"/>
      <c r="V72" s="67"/>
    </row>
    <row r="73" spans="2:22" ht="19">
      <c r="B73" s="236">
        <f>IF(ISERROR(VLOOKUP(C73,'DETAILED MODELLER - PERSON 1'!$D$18:$AW$47,1,FALSE)),"-",VLOOKUP(C73,'DETAILED MODELLER - PERSON 1'!$D$18:$AW$47,9,FALSE))</f>
        <v>2020</v>
      </c>
      <c r="C73" s="278">
        <v>65</v>
      </c>
      <c r="D73" s="275">
        <f>IF(ISERROR(VLOOKUP(C73,'DETAILED MODELLER - PERSON 1'!$D$18:$AW$47,1,FALSE)),"-",VLOOKUP(C73,'DETAILED MODELLER - PERSON 1'!$D$18:$AW$47,12,FALSE))</f>
        <v>15187.65133632236</v>
      </c>
      <c r="E73" s="275">
        <f>IF(ISERROR(VLOOKUP(C73,'DETAILED MODELLER - PERSON 1'!$D$18:$AW$47,1,FALSE)),"-",VLOOKUP(C73,'DETAILED MODELLER - PERSON 1'!$D$18:$AW$47,13,FALSE))</f>
        <v>60477.855078255583</v>
      </c>
      <c r="G73" s="277">
        <f>IF(ISERROR(VLOOKUP(C73,'DETAILED MODELLER - PERSON 1'!$D$18:$AW$47,1,FALSE)),"-",VLOOKUP(C73,'DETAILED MODELLER - PERSON 1'!$D$18:$AW$47,6,FALSE))</f>
        <v>16853.628866256</v>
      </c>
      <c r="H73" s="277">
        <f>IF(ISERROR(VLOOKUP(C73,'DETAILED MODELLER - PERSON 1'!$B$98:$P$127,1,FALSE)),"-",VLOOKUP(C73,'DETAILED MODELLER - PERSON 1'!$B$98:$P$127,12,FALSE))</f>
        <v>64661.371106256003</v>
      </c>
      <c r="I73" s="276"/>
      <c r="J73" s="277">
        <f>IF(ISERROR(VLOOKUP(C73,'DETAILED MODELLER - PERSON 1'!$D$18:$AW$47,1,FALSE)),"-",VLOOKUP(C73,'DETAILED MODELLER - PERSON 1'!$D$18:$AW$47,14,FALSE))</f>
        <v>-1665.9775299336397</v>
      </c>
      <c r="K73" s="277">
        <f>IF(ISERROR(VLOOKUP(C73,'DETAILED MODELLER - PERSON 1'!$D$18:$AW$47,1,FALSE)),"-",VLOOKUP(C73,'DETAILED MODELLER - PERSON 1'!$D$18:$AW$47,15,FALSE))</f>
        <v>-4183.5160280004184</v>
      </c>
      <c r="M73" s="282">
        <f>IF(ISERROR(VLOOKUP(C73,'DETAILED MODELLER - PERSON 1'!$AY$18:$BS$47,1,FALSE)),"-",VLOOKUP(C73,'DETAILED MODELLER - PERSON 1'!$AY$18:$BS$47,3,FALSE))</f>
        <v>0</v>
      </c>
      <c r="N73" s="282">
        <f>IF(ISERROR(VLOOKUP(C73,'DETAILED MODELLER - PERSON 1'!$AY$18:$BS$47,1,FALSE)),"-",VLOOKUP(C73,'DETAILED MODELLER - PERSON 1'!$AY$18:$BS$47,5,FALSE))</f>
        <v>0</v>
      </c>
      <c r="O73" s="283">
        <f>IF(ISERROR(VLOOKUP(C73,'DETAILED MODELLER - PERSON 1'!$AY$18:$BR$47,1,FALSE)),"-",VLOOKUP(C73,'DETAILED MODELLER - PERSON 1'!$AY$18:$BR$47,7,FALSE))</f>
        <v>0</v>
      </c>
      <c r="P73" s="283">
        <f>IF(ISERROR(VLOOKUP(C73,'DETAILED MODELLER - PERSON 1'!$AY$18:$BR$47,1,FALSE)),"-",VLOOKUP(C73,'DETAILED MODELLER - PERSON 1'!$AY$18:$BR$47,9,FALSE))</f>
        <v>0</v>
      </c>
      <c r="Q73" s="283">
        <f>IF(ISERROR(VLOOKUP(C73,'DETAILED MODELLER - PERSON 1'!$AY$18:$BR$47,1,FALSE)),"-",VLOOKUP(C73,'DETAILED MODELLER - PERSON 1'!$AY$18:$BR$47,11,FALSE))</f>
        <v>0</v>
      </c>
      <c r="R73" s="283">
        <f>IF(ISERROR(VLOOKUP(C73,'DETAILED MODELLER - PERSON 1'!$AY$18:$BR$47,1,FALSE)),"-",VLOOKUP(C73,'DETAILED MODELLER - PERSON 1'!$AY$18:$BR$47,13,FALSE))</f>
        <v>0</v>
      </c>
      <c r="S73" s="274">
        <f>IF(ISERROR(VLOOKUP(C73,'DETAILED MODELLER - PERSON 1'!$AY$18:$BR$47,1,FALSE)),"-",VLOOKUP(C73,'DETAILED MODELLER - PERSON 1'!$AY$18:$BR$47,15,FALSE))</f>
        <v>0</v>
      </c>
      <c r="T73" s="274">
        <f>IF(ISERROR(VLOOKUP(C73,'DETAILED MODELLER - PERSON 1'!$AY$18:$BR$47,1,FALSE)),"-",VLOOKUP(C73,'DETAILED MODELLER - PERSON 1'!$AY$18:$BR$47,17,FALSE))</f>
        <v>0</v>
      </c>
      <c r="U73" s="284">
        <f>IF(ISERROR(VLOOKUP(C73,'DETAILED MODELLER - PERSON 1'!$AY$18:$BR$47,1,FALSE)),"-",VLOOKUP(C73,'DETAILED MODELLER - PERSON 1'!$AY$18:$BR$47,19,FALSE))</f>
        <v>0</v>
      </c>
      <c r="V73" s="284">
        <f>IF(ISERROR(VLOOKUP(C73,'DETAILED MODELLER - PERSON 1'!$AY$18:$BS$47,1,FALSE)),"-",VLOOKUP(C73,'DETAILED MODELLER - PERSON 1'!$AY$18:$BS$47,21,FALSE))</f>
        <v>0</v>
      </c>
    </row>
    <row r="74" spans="2:22" ht="19">
      <c r="B74" s="190"/>
      <c r="C74" s="190"/>
      <c r="D74" s="276"/>
      <c r="E74" s="276"/>
      <c r="G74" s="276"/>
      <c r="H74" s="276"/>
      <c r="J74" s="276"/>
      <c r="K74" s="276"/>
      <c r="N74" s="67"/>
      <c r="P74" s="67"/>
      <c r="R74" s="67"/>
      <c r="T74" s="67"/>
      <c r="V74" s="67"/>
    </row>
    <row r="75" spans="2:22" ht="19">
      <c r="B75" s="236">
        <f>IF(ISERROR(VLOOKUP(C75,'DETAILED MODELLER - PERSON 1'!$D$18:$AW$47,1,FALSE)),"-",VLOOKUP(C75,'DETAILED MODELLER - PERSON 1'!$D$18:$AW$47,9,FALSE))</f>
        <v>2025</v>
      </c>
      <c r="C75" s="236">
        <v>70</v>
      </c>
      <c r="D75" s="275">
        <f>IF(ISERROR(VLOOKUP(C75,'DETAILED MODELLER - PERSON 1'!$D$18:$AW$47,1,FALSE)),"-",VLOOKUP(C75,'DETAILED MODELLER - PERSON 1'!$D$18:$AW$47,12,FALSE))</f>
        <v>15348.195905912909</v>
      </c>
      <c r="E75" s="275">
        <f>IF(ISERROR(VLOOKUP(C75,'DETAILED MODELLER - PERSON 1'!$D$18:$AW$47,1,FALSE)),"-",VLOOKUP(C75,'DETAILED MODELLER - PERSON 1'!$D$18:$AW$47,13,FALSE))</f>
        <v>136897.07020335586</v>
      </c>
      <c r="G75" s="277">
        <f>IF(ISERROR(VLOOKUP(C75,'DETAILED MODELLER - PERSON 1'!$D$18:$AW$47,1,FALSE)),"-",VLOOKUP(C75,'DETAILED MODELLER - PERSON 1'!$D$18:$AW$47,6,FALSE))</f>
        <v>18607.768095490635</v>
      </c>
      <c r="H75" s="277">
        <f>IF(ISERROR(VLOOKUP(C75,'DETAILED MODELLER - PERSON 1'!$B$98:$P$127,1,FALSE)),"-",VLOOKUP(C75,'DETAILED MODELLER - PERSON 1'!$B$98:$P$127,12,FALSE))</f>
        <v>154122.47179722216</v>
      </c>
      <c r="J75" s="277">
        <f>IF(ISERROR(VLOOKUP(C75,'DETAILED MODELLER - PERSON 1'!$D$18:$AW$47,1,FALSE)),"-",VLOOKUP(C75,'DETAILED MODELLER - PERSON 1'!$D$18:$AW$47,14,FALSE))</f>
        <v>-3259.572189577726</v>
      </c>
      <c r="K75" s="277">
        <f>IF(ISERROR(VLOOKUP(C75,'DETAILED MODELLER - PERSON 1'!$D$18:$AW$47,1,FALSE)),"-",VLOOKUP(C75,'DETAILED MODELLER - PERSON 1'!$D$18:$AW$47,15,FALSE))</f>
        <v>-17225.401593866263</v>
      </c>
      <c r="M75" s="282">
        <f>IF(ISERROR(VLOOKUP(C75,'DETAILED MODELLER - PERSON 1'!$AY$18:$BS$47,1,FALSE)),"-",VLOOKUP(C75,'DETAILED MODELLER - PERSON 1'!$AY$18:$BS$47,3,FALSE))</f>
        <v>137.03746344564934</v>
      </c>
      <c r="N75" s="282">
        <f>IF(ISERROR(VLOOKUP($C$75,'DETAILED MODELLER - PERSON 1'!$AY$18:$BS$47,1,FALSE)),"-",VLOOKUP($C$75,'DETAILED MODELLER - PERSON 1'!$AY$18:$BS$47,5,FALSE))</f>
        <v>682.31442075982341</v>
      </c>
      <c r="O75" s="283">
        <f>IF(ISERROR(VLOOKUP(C75,'DETAILED MODELLER - PERSON 1'!$AY$18:$BR$47,1,FALSE)),"-",VLOOKUP(C75,'DETAILED MODELLER - PERSON 1'!$AY$18:$BR$47,7,FALSE))</f>
        <v>836.99476238456191</v>
      </c>
      <c r="P75" s="283">
        <f>IF(ISERROR(VLOOKUP(C75,'DETAILED MODELLER - PERSON 1'!$AY$18:$BR$47,1,FALSE)),"-",VLOOKUP(C75,'DETAILED MODELLER - PERSON 1'!$AY$18:$BR$47,9,FALSE))</f>
        <v>2483.7299435280729</v>
      </c>
      <c r="Q75" s="283">
        <f>IF(ISERROR(VLOOKUP(C75,'DETAILED MODELLER - PERSON 1'!$AY$18:$BR$47,1,FALSE)),"-",VLOOKUP(C75,'DETAILED MODELLER - PERSON 1'!$AY$18:$BR$47,11,FALSE))</f>
        <v>697.53253903645054</v>
      </c>
      <c r="R75" s="283">
        <f>IF(ISERROR(VLOOKUP(C75,'DETAILED MODELLER - PERSON 1'!$AY$18:$BR$47,1,FALSE)),"-",VLOOKUP(C75,'DETAILED MODELLER - PERSON 1'!$AY$18:$BR$47,13,FALSE))</f>
        <v>2074.4099069219083</v>
      </c>
      <c r="S75" s="274">
        <f>IF(ISERROR(VLOOKUP(C75,'DETAILED MODELLER - PERSON 1'!$AY$18:$BR$47,1,FALSE)),"-",VLOOKUP(C75,'DETAILED MODELLER - PERSON 1'!$AY$18:$BR$47,15,FALSE))</f>
        <v>839.53013589440707</v>
      </c>
      <c r="T75" s="274">
        <f>IF(ISERROR(VLOOKUP(C75,'DETAILED MODELLER - PERSON 1'!$AY$18:$BR$47,1,FALSE)),"-",VLOOKUP(C75,'DETAILED MODELLER - PERSON 1'!$AY$18:$BR$47,17,FALSE))</f>
        <v>2495.7627961385588</v>
      </c>
      <c r="U75" s="284">
        <f>IF(ISERROR(VLOOKUP(C75,'DETAILED MODELLER - PERSON 1'!$AY$18:$BR$47,1,FALSE)),"-",VLOOKUP(C75,'DETAILED MODELLER - PERSON 1'!$AY$18:$BR$47,19,FALSE))</f>
        <v>1420.1983802154336</v>
      </c>
      <c r="V75" s="284">
        <f>IF(ISERROR(VLOOKUP(C75,'DETAILED MODELLER - PERSON 1'!$AY$18:$BS$47,1,FALSE)),"-",VLOOKUP(C75,'DETAILED MODELLER - PERSON 1'!$AY$18:$BS$47,21,FALSE))</f>
        <v>4198.675315004919</v>
      </c>
    </row>
    <row r="76" spans="2:22" ht="19">
      <c r="B76" s="190"/>
      <c r="C76" s="190"/>
      <c r="D76" s="276"/>
      <c r="E76" s="276"/>
      <c r="G76" s="276"/>
      <c r="H76" s="276"/>
      <c r="J76" s="276"/>
      <c r="K76" s="276"/>
      <c r="N76" s="67"/>
      <c r="P76" s="67"/>
      <c r="R76" s="67"/>
      <c r="T76" s="67"/>
      <c r="V76" s="67"/>
    </row>
    <row r="77" spans="2:22" ht="19">
      <c r="B77" s="236">
        <f>IF(ISERROR(VLOOKUP(C77,'DETAILED MODELLER - PERSON 1'!$D$18:$AW$47,1,FALSE)),"-",VLOOKUP(C77,'DETAILED MODELLER - PERSON 1'!$D$18:$AW$47,9,FALSE))</f>
        <v>2030</v>
      </c>
      <c r="C77" s="236">
        <v>75</v>
      </c>
      <c r="D77" s="275">
        <f>IF(ISERROR(VLOOKUP(C77,'DETAILED MODELLER - PERSON 1'!$D$18:$AW$47,1,FALSE)),"-",VLOOKUP(C77,'DETAILED MODELLER - PERSON 1'!$D$18:$AW$47,12,FALSE))</f>
        <v>15510.43754888592</v>
      </c>
      <c r="E77" s="275">
        <f>IF(ISERROR(VLOOKUP(C77,'DETAILED MODELLER - PERSON 1'!$D$18:$AW$47,1,FALSE)),"-",VLOOKUP(C77,'DETAILED MODELLER - PERSON 1'!$D$18:$AW$47,13,FALSE))</f>
        <v>214124.09225850896</v>
      </c>
      <c r="G77" s="277">
        <f>IF(ISERROR(VLOOKUP(C77,'DETAILED MODELLER - PERSON 1'!$D$18:$AW$47,1,FALSE)),"-",VLOOKUP(C77,'DETAILED MODELLER - PERSON 1'!$D$18:$AW$47,6,FALSE))</f>
        <v>20544.479544628633</v>
      </c>
      <c r="H77" s="277">
        <f>IF(ISERROR(VLOOKUP(C77,'DETAILED MODELLER - PERSON 1'!$B$98:$P$127,1,FALSE)),"-",VLOOKUP(C77,'DETAILED MODELLER - PERSON 1'!$B$98:$P$127,12,FALSE))</f>
        <v>252894.7557032601</v>
      </c>
      <c r="J77" s="277">
        <f>IF(ISERROR(VLOOKUP(C77,'DETAILED MODELLER - PERSON 1'!$D$18:$AW$47,1,FALSE)),"-",VLOOKUP(C77,'DETAILED MODELLER - PERSON 1'!$D$18:$AW$47,14,FALSE))</f>
        <v>-5034.041995742713</v>
      </c>
      <c r="K77" s="277">
        <f>IF(ISERROR(VLOOKUP(C77,'DETAILED MODELLER - PERSON 1'!$D$18:$AW$47,1,FALSE)),"-",VLOOKUP(C77,'DETAILED MODELLER - PERSON 1'!$D$18:$AW$47,15,FALSE))</f>
        <v>-38770.663444751153</v>
      </c>
      <c r="M77" s="282">
        <f>IF(ISERROR(VLOOKUP(C77,'DETAILED MODELLER - PERSON 1'!$AY$18:$BS$47,1,FALSE)),"-",VLOOKUP(C77,'DETAILED MODELLER - PERSON 1'!$AY$18:$BS$47,3,FALSE))</f>
        <v>138.48604954362236</v>
      </c>
      <c r="N77" s="282">
        <f>IF(ISERROR(VLOOKUP($C$77,'DETAILED MODELLER - PERSON 1'!$AY$18:$BS$47,1,FALSE)),"-",VLOOKUP($C$77,'DETAILED MODELLER - PERSON 1'!$AY$18:$BS$47,5,FALSE))</f>
        <v>1371.8414033951121</v>
      </c>
      <c r="O77" s="283">
        <f>IF(ISERROR(VLOOKUP(C77,'DETAILED MODELLER - PERSON 1'!$AY$18:$BR$47,1,FALSE)),"-",VLOOKUP(C77,'DETAILED MODELLER - PERSON 1'!$AY$18:$BR$47,7,FALSE))</f>
        <v>1435.2109145853556</v>
      </c>
      <c r="P77" s="283">
        <f>IF(ISERROR(VLOOKUP(C77,'DETAILED MODELLER - PERSON 1'!$AY$18:$BR$47,1,FALSE)),"-",VLOOKUP(C77,'DETAILED MODELLER - PERSON 1'!$AY$18:$BR$47,9,FALSE))</f>
        <v>8453.7983023501583</v>
      </c>
      <c r="Q77" s="283">
        <f>IF(ISERROR(VLOOKUP(C77,'DETAILED MODELLER - PERSON 1'!$AY$18:$BR$47,1,FALSE)),"-",VLOOKUP(C77,'DETAILED MODELLER - PERSON 1'!$AY$18:$BR$47,11,FALSE))</f>
        <v>1441.8479380287008</v>
      </c>
      <c r="R77" s="283">
        <f>IF(ISERROR(VLOOKUP(C77,'DETAILED MODELLER - PERSON 1'!$AY$18:$BR$47,1,FALSE)),"-",VLOOKUP(C77,'DETAILED MODELLER - PERSON 1'!$AY$18:$BR$47,13,FALSE))</f>
        <v>7775.7725001148938</v>
      </c>
      <c r="S77" s="274">
        <f>IF(ISERROR(VLOOKUP(C77,'DETAILED MODELLER - PERSON 1'!$AY$18:$BR$47,1,FALSE)),"-",VLOOKUP(C77,'DETAILED MODELLER - PERSON 1'!$AY$18:$BR$47,15,FALSE))</f>
        <v>1895.9032013030646</v>
      </c>
      <c r="T77" s="274">
        <f>IF(ISERROR(VLOOKUP(C77,'DETAILED MODELLER - PERSON 1'!$AY$18:$BR$47,1,FALSE)),"-",VLOOKUP(C77,'DETAILED MODELLER - PERSON 1'!$AY$18:$BR$47,17,FALSE))</f>
        <v>9975.0841708239168</v>
      </c>
      <c r="U77" s="284">
        <f>IF(ISERROR(VLOOKUP(C77,'DETAILED MODELLER - PERSON 1'!$AY$18:$BR$47,1,FALSE)),"-",VLOOKUP(C77,'DETAILED MODELLER - PERSON 1'!$AY$18:$BR$47,19,FALSE))</f>
        <v>2600.7691476460768</v>
      </c>
      <c r="V77" s="284">
        <f>IF(ISERROR(VLOOKUP(C77,'DETAILED MODELLER - PERSON 1'!$AY$18:$BS$47,1,FALSE)),"-",VLOOKUP(C77,'DETAILED MODELLER - PERSON 1'!$AY$18:$BS$47,21,FALSE))</f>
        <v>14800.688713202864</v>
      </c>
    </row>
    <row r="78" spans="2:22" ht="19">
      <c r="B78" s="190"/>
      <c r="C78" s="190"/>
      <c r="D78" s="276"/>
      <c r="E78" s="276"/>
      <c r="G78" s="276"/>
      <c r="H78" s="276"/>
      <c r="J78" s="276"/>
      <c r="K78" s="276"/>
      <c r="N78" s="67"/>
      <c r="P78" s="67"/>
      <c r="R78" s="67"/>
      <c r="T78" s="67"/>
      <c r="V78" s="67"/>
    </row>
    <row r="79" spans="2:22" ht="19">
      <c r="B79" s="236">
        <f>IF(ISERROR(VLOOKUP(C79,'DETAILED MODELLER - PERSON 1'!$D$18:$AW$47,1,FALSE)),"-",VLOOKUP(C79,'DETAILED MODELLER - PERSON 1'!$D$18:$AW$47,9,FALSE))</f>
        <v>2035</v>
      </c>
      <c r="C79" s="236">
        <v>80</v>
      </c>
      <c r="D79" s="275">
        <f>IF(ISERROR(VLOOKUP(C79,'DETAILED MODELLER - PERSON 1'!$D$18:$AW$47,1,FALSE)),"-",VLOOKUP(C79,'DETAILED MODELLER - PERSON 1'!$D$18:$AW$47,12,FALSE))</f>
        <v>15674.394204546803</v>
      </c>
      <c r="E79" s="275">
        <f>IF(ISERROR(VLOOKUP(C79,'DETAILED MODELLER - PERSON 1'!$D$18:$AW$47,1,FALSE)),"-",VLOOKUP(C79,'DETAILED MODELLER - PERSON 1'!$D$18:$AW$47,13,FALSE))</f>
        <v>292167.46035308903</v>
      </c>
      <c r="G79" s="277">
        <f>IF(ISERROR(VLOOKUP(C79,'DETAILED MODELLER - PERSON 1'!$D$18:$AW$47,1,FALSE)),"-",VLOOKUP(C79,'DETAILED MODELLER - PERSON 1'!$D$18:$AW$47,6,FALSE))</f>
        <v>22682.765476959554</v>
      </c>
      <c r="H79" s="277">
        <f>IF(ISERROR(VLOOKUP(C79,'DETAILED MODELLER - PERSON 1'!$B$98:$P$127,1,FALSE)),"-",VLOOKUP(C79,'DETAILED MODELLER - PERSON 1'!$B$98:$P$127,12,FALSE))</f>
        <v>361947.33825213695</v>
      </c>
      <c r="J79" s="277">
        <f>IF(ISERROR(VLOOKUP(C79,'DETAILED MODELLER - PERSON 1'!$D$18:$AW$47,1,FALSE)),"-",VLOOKUP(C79,'DETAILED MODELLER - PERSON 1'!$D$18:$AW$47,14,FALSE))</f>
        <v>-7008.3712724127508</v>
      </c>
      <c r="K79" s="277">
        <f>IF(ISERROR(VLOOKUP(C79,'DETAILED MODELLER - PERSON 1'!$D$18:$AW$47,1,FALSE)),"-",VLOOKUP(C79,'DETAILED MODELLER - PERSON 1'!$D$18:$AW$47,15,FALSE))</f>
        <v>-69779.877899047948</v>
      </c>
      <c r="M79" s="282">
        <f>IF(ISERROR(VLOOKUP(C79,'DETAILED MODELLER - PERSON 1'!$AY$18:$BS$47,1,FALSE)),"-",VLOOKUP(C79,'DETAILED MODELLER - PERSON 1'!$AY$18:$BS$47,3,FALSE))</f>
        <v>281.14944961918263</v>
      </c>
      <c r="N79" s="282">
        <f>IF(ISERROR(VLOOKUP($C$79,'DETAILED MODELLER - PERSON 1'!$AY$18:$BS$47,1,FALSE)),"-",VLOOKUP($C$79,'DETAILED MODELLER - PERSON 1'!$AY$18:$BS$47,5,FALSE))</f>
        <v>2491.3664044112084</v>
      </c>
      <c r="O79" s="283">
        <f>IF(ISERROR(VLOOKUP(C79,'DETAILED MODELLER - PERSON 1'!$AY$18:$BR$47,1,FALSE)),"-",VLOOKUP(C79,'DETAILED MODELLER - PERSON 1'!$AY$18:$BR$47,7,FALSE))</f>
        <v>2384.2605081336078</v>
      </c>
      <c r="P79" s="283">
        <f>IF(ISERROR(VLOOKUP(C79,'DETAILED MODELLER - PERSON 1'!$AY$18:$BR$47,1,FALSE)),"-",VLOOKUP(C79,'DETAILED MODELLER - PERSON 1'!$AY$18:$BR$47,9,FALSE))</f>
        <v>18446.528762908885</v>
      </c>
      <c r="Q79" s="283">
        <f>IF(ISERROR(VLOOKUP(C79,'DETAILED MODELLER - PERSON 1'!$AY$18:$BR$47,1,FALSE)),"-",VLOOKUP(C79,'DETAILED MODELLER - PERSON 1'!$AY$18:$BR$47,11,FALSE))</f>
        <v>2235.6672934909111</v>
      </c>
      <c r="R79" s="283">
        <f>IF(ISERROR(VLOOKUP(C79,'DETAILED MODELLER - PERSON 1'!$AY$18:$BR$47,1,FALSE)),"-",VLOOKUP(C79,'DETAILED MODELLER - PERSON 1'!$AY$18:$BR$47,13,FALSE))</f>
        <v>17346.105232556758</v>
      </c>
      <c r="S79" s="274">
        <f>IF(ISERROR(VLOOKUP(C79,'DETAILED MODELLER - PERSON 1'!$AY$18:$BR$47,1,FALSE)),"-",VLOOKUP(C79,'DETAILED MODELLER - PERSON 1'!$AY$18:$BR$47,15,FALSE))</f>
        <v>3042.2987719215998</v>
      </c>
      <c r="T79" s="274">
        <f>IF(ISERROR(VLOOKUP(C79,'DETAILED MODELLER - PERSON 1'!$AY$18:$BR$47,1,FALSE)),"-",VLOOKUP(C79,'DETAILED MODELLER - PERSON 1'!$AY$18:$BR$47,17,FALSE))</f>
        <v>22696.639465470507</v>
      </c>
      <c r="U79" s="284">
        <f>IF(ISERROR(VLOOKUP(C79,'DETAILED MODELLER - PERSON 1'!$AY$18:$BR$47,1,FALSE)),"-",VLOOKUP(C79,'DETAILED MODELLER - PERSON 1'!$AY$18:$BR$47,19,FALSE))</f>
        <v>3544.7313806165512</v>
      </c>
      <c r="V79" s="284">
        <f>IF(ISERROR(VLOOKUP(C79,'DETAILED MODELLER - PERSON 1'!$AY$18:$BS$47,1,FALSE)),"-",VLOOKUP(C79,'DETAILED MODELLER - PERSON 1'!$AY$18:$BS$47,21,FALSE))</f>
        <v>30774.793387209065</v>
      </c>
    </row>
    <row r="80" spans="2:22" ht="19">
      <c r="B80" s="190"/>
      <c r="C80" s="190"/>
      <c r="D80" s="276"/>
      <c r="E80" s="276"/>
      <c r="G80" s="276"/>
      <c r="H80" s="276"/>
      <c r="J80" s="276"/>
      <c r="K80" s="276"/>
      <c r="N80" s="67"/>
      <c r="P80" s="67"/>
      <c r="R80" s="67"/>
      <c r="T80" s="67"/>
      <c r="V80" s="67"/>
    </row>
    <row r="81" spans="2:25" ht="19">
      <c r="B81" s="236">
        <f>IF(ISERROR(VLOOKUP(C81,'DETAILED MODELLER - PERSON 1'!$D$18:$AW$47,1,FALSE)),"-",VLOOKUP(C81,'DETAILED MODELLER - PERSON 1'!$D$18:$AW$47,9,FALSE))</f>
        <v>2039</v>
      </c>
      <c r="C81" s="236">
        <v>84</v>
      </c>
      <c r="D81" s="275">
        <f>IF(ISERROR(VLOOKUP(C81,'DETAILED MODELLER - PERSON 1'!$D$18:$AW$47,1,FALSE)),"-",VLOOKUP(C81,'DETAILED MODELLER - PERSON 1'!$D$18:$AW$47,12,FALSE))</f>
        <v>15806.80651443372</v>
      </c>
      <c r="E81" s="275">
        <f>IF(ISERROR(VLOOKUP(C81,'DETAILED MODELLER - PERSON 1'!$D$18:$AW$47,1,FALSE)),"-",VLOOKUP(C81,'DETAILED MODELLER - PERSON 1'!$D$18:$AW$47,13,FALSE))</f>
        <v>355195.71985926182</v>
      </c>
      <c r="G81" s="277">
        <f>IF(ISERROR(VLOOKUP(C81,'DETAILED MODELLER - PERSON 1'!$D$18:$AW$47,1,FALSE)),"-",VLOOKUP(C81,'DETAILED MODELLER - PERSON 1'!$D$18:$AW$47,6,FALSE))</f>
        <v>24552.55482999876</v>
      </c>
      <c r="H81" s="277">
        <f>IF(ISERROR(VLOOKUP(C81,'DETAILED MODELLER - PERSON 1'!$B$98:$P$127,1,FALSE)),"-",VLOOKUP(C81,'DETAILED MODELLER - PERSON 1'!$B$98:$P$127,12,FALSE))</f>
        <v>457306.59525713645</v>
      </c>
      <c r="J81" s="277">
        <f>IF(ISERROR(VLOOKUP(C81,'DETAILED MODELLER - PERSON 1'!$D$18:$AW$47,1,FALSE)),"-",VLOOKUP(C81,'DETAILED MODELLER - PERSON 1'!$D$18:$AW$47,14,FALSE))</f>
        <v>-8745.7483155650407</v>
      </c>
      <c r="K81" s="277">
        <f>IF(ISERROR(VLOOKUP(C81,'DETAILED MODELLER - PERSON 1'!$D$18:$AW$47,1,FALSE)),"-",VLOOKUP(C81,'DETAILED MODELLER - PERSON 1'!$D$18:$AW$47,15,FALSE))</f>
        <v>-102110.87539787471</v>
      </c>
      <c r="M81" s="282">
        <f>IF(ISERROR(VLOOKUP(C81,'DETAILED MODELLER - PERSON 1'!$AY$18:$BS$47,1,FALSE)),"-",VLOOKUP(C81,'DETAILED MODELLER - PERSON 1'!$AY$18:$BS$47,3,FALSE))</f>
        <v>283.52451098115307</v>
      </c>
      <c r="N81" s="282">
        <f>IF(ISERROR(VLOOKUP(C81,'DETAILED MODELLER - PERSON 1'!$AY$18:$BR$47,1,FALSE)),"-",VLOOKUP(C81,'DETAILED MODELLER - PERSON 1'!$AY$18:$BR$47,5,FALSE))</f>
        <v>3621.8956127090496</v>
      </c>
      <c r="O81" s="283">
        <f>IF(ISERROR(VLOOKUP(C81,'DETAILED MODELLER - PERSON 1'!$AY$18:$BR$47,1,FALSE)),"-",VLOOKUP(C81,'DETAILED MODELLER - PERSON 1'!$AY$18:$BR$47,7,FALSE))</f>
        <v>3060.6094336551869</v>
      </c>
      <c r="P81" s="283">
        <f>IF(ISERROR(VLOOKUP(C81,'DETAILED MODELLER - PERSON 1'!$AY$18:$BR$47,1,FALSE)),"-",VLOOKUP(C81,'DETAILED MODELLER - PERSON 1'!$AY$18:$BR$47,9,FALSE))</f>
        <v>29338.43114551733</v>
      </c>
      <c r="Q81" s="283">
        <f>IF(ISERROR(VLOOKUP(C81,'DETAILED MODELLER - PERSON 1'!$AY$18:$BR$47,1,FALSE)),"-",VLOOKUP(C81,'DETAILED MODELLER - PERSON 1'!$AY$18:$BR$47,11,FALSE))</f>
        <v>2908.2926546061717</v>
      </c>
      <c r="R81" s="283">
        <f>IF(ISERROR(VLOOKUP(C81,'DETAILED MODELLER - PERSON 1'!$AY$18:$BR$47,1,FALSE)),"-",VLOOKUP(C81,'DETAILED MODELLER - PERSON 1'!$AY$18:$BR$47,13,FALSE))</f>
        <v>27959.625059487938</v>
      </c>
      <c r="S81" s="274">
        <f>IF(ISERROR(VLOOKUP(C81,'DETAILED MODELLER - PERSON 1'!$AY$18:$BR$47,1,FALSE)),"-",VLOOKUP(C81,'DETAILED MODELLER - PERSON 1'!$AY$18:$BR$47,15,FALSE))</f>
        <v>3924.2608740451942</v>
      </c>
      <c r="T81" s="274">
        <f>IF(ISERROR(VLOOKUP(C81,'DETAILED MODELLER - PERSON 1'!$AY$18:$BR$47,1,FALSE)),"-",VLOOKUP(C81,'DETAILED MODELLER - PERSON 1'!$AY$18:$BR$47,17,FALSE))</f>
        <v>36971.097060598491</v>
      </c>
      <c r="U81" s="284">
        <f>IF(ISERROR(VLOOKUP(C81,'DETAILED MODELLER - PERSON 1'!$AY$18:$BR$47,1,FALSE)),"-",VLOOKUP(C81,'DETAILED MODELLER - PERSON 1'!$AY$18:$BR$47,19,FALSE))</f>
        <v>4276.1977403519268</v>
      </c>
      <c r="V81" s="284">
        <f>IF(ISERROR(VLOOKUP(C81,'DETAILED MODELLER - PERSON 1'!$AY$18:$BS$47,1,FALSE)),"-",VLOOKUP(C81,'DETAILED MODELLER - PERSON 1'!$AY$18:$BS$47,21,FALSE))</f>
        <v>46770.863611723238</v>
      </c>
    </row>
    <row r="82" spans="2:25">
      <c r="M82" s="67"/>
      <c r="N82" s="67"/>
    </row>
    <row r="83" spans="2:25" ht="16" thickBot="1">
      <c r="B83" s="67"/>
      <c r="C83" s="67"/>
      <c r="D83" s="67"/>
      <c r="E83" s="67"/>
      <c r="F83" s="67"/>
      <c r="G83" s="67"/>
      <c r="H83" s="67"/>
      <c r="I83" s="67"/>
      <c r="J83" s="67"/>
      <c r="K83" s="67"/>
      <c r="L83" s="67"/>
      <c r="M83" s="67"/>
      <c r="N83" s="67"/>
      <c r="O83" s="67"/>
      <c r="P83" s="67"/>
      <c r="Q83" s="67"/>
      <c r="R83" s="67"/>
      <c r="S83" s="67"/>
      <c r="T83" s="67"/>
      <c r="U83" s="67"/>
    </row>
    <row r="84" spans="2:25" ht="27" thickBot="1">
      <c r="B84" s="512" t="s">
        <v>151</v>
      </c>
      <c r="C84" s="513"/>
      <c r="D84" s="513"/>
      <c r="E84" s="513"/>
      <c r="F84" s="513"/>
      <c r="G84" s="513"/>
      <c r="H84" s="513"/>
      <c r="I84" s="513"/>
      <c r="J84" s="513"/>
      <c r="K84" s="514"/>
      <c r="M84" s="515" t="s">
        <v>208</v>
      </c>
      <c r="N84" s="516"/>
      <c r="O84" s="516"/>
      <c r="P84" s="516"/>
      <c r="Q84" s="516"/>
      <c r="R84" s="516"/>
      <c r="S84" s="516"/>
      <c r="T84" s="516"/>
      <c r="U84" s="516"/>
      <c r="V84" s="516"/>
      <c r="W84" s="516"/>
      <c r="X84" s="516"/>
      <c r="Y84" s="517"/>
    </row>
    <row r="85" spans="2:25" ht="16" thickBot="1">
      <c r="B85" s="67"/>
      <c r="C85" s="67"/>
      <c r="D85" s="67"/>
      <c r="E85" s="67"/>
      <c r="F85" s="67"/>
      <c r="G85" s="67"/>
      <c r="H85" s="67"/>
      <c r="I85" s="67"/>
      <c r="J85" s="67"/>
      <c r="K85" s="67"/>
      <c r="L85" s="67"/>
      <c r="M85" s="67"/>
      <c r="N85" s="67"/>
      <c r="O85" s="67"/>
      <c r="P85" s="67"/>
      <c r="Q85" s="67"/>
      <c r="R85" s="67"/>
      <c r="S85" s="67"/>
      <c r="T85" s="67"/>
      <c r="U85" s="67"/>
    </row>
    <row r="86" spans="2:25" ht="15" customHeight="1">
      <c r="B86" s="501" t="s">
        <v>195</v>
      </c>
      <c r="C86" s="502"/>
      <c r="D86" s="502"/>
      <c r="E86" s="502"/>
      <c r="F86" s="502"/>
      <c r="G86" s="502"/>
      <c r="H86" s="502"/>
      <c r="I86" s="502"/>
      <c r="J86" s="502"/>
      <c r="K86" s="503"/>
      <c r="L86" s="67"/>
      <c r="M86" s="67"/>
      <c r="O86" s="481" t="s">
        <v>128</v>
      </c>
      <c r="P86" s="482"/>
      <c r="Q86" s="482"/>
      <c r="R86" s="482"/>
      <c r="S86" s="482"/>
      <c r="T86" s="482"/>
      <c r="U86" s="482"/>
      <c r="V86" s="482"/>
      <c r="W86" s="482"/>
      <c r="X86" s="482"/>
      <c r="Y86" s="483"/>
    </row>
    <row r="87" spans="2:25" ht="16" customHeight="1" thickBot="1">
      <c r="B87" s="509"/>
      <c r="C87" s="510"/>
      <c r="D87" s="510"/>
      <c r="E87" s="510"/>
      <c r="F87" s="510"/>
      <c r="G87" s="510"/>
      <c r="H87" s="510"/>
      <c r="I87" s="510"/>
      <c r="J87" s="510"/>
      <c r="K87" s="511"/>
      <c r="L87" s="67"/>
      <c r="M87" s="67"/>
      <c r="O87" s="484"/>
      <c r="P87" s="485"/>
      <c r="Q87" s="485"/>
      <c r="R87" s="485"/>
      <c r="S87" s="485"/>
      <c r="T87" s="485"/>
      <c r="U87" s="485"/>
      <c r="V87" s="485"/>
      <c r="W87" s="485"/>
      <c r="X87" s="485"/>
      <c r="Y87" s="486"/>
    </row>
    <row r="88" spans="2:25" ht="20" customHeight="1">
      <c r="B88" s="509"/>
      <c r="C88" s="510"/>
      <c r="D88" s="510"/>
      <c r="E88" s="510"/>
      <c r="F88" s="510"/>
      <c r="G88" s="510"/>
      <c r="H88" s="510"/>
      <c r="I88" s="510"/>
      <c r="J88" s="510"/>
      <c r="K88" s="511"/>
      <c r="O88" s="518" t="s">
        <v>182</v>
      </c>
      <c r="P88" s="519"/>
      <c r="Q88" s="522" t="s">
        <v>130</v>
      </c>
      <c r="R88" s="523"/>
      <c r="S88" s="526" t="s">
        <v>131</v>
      </c>
      <c r="T88" s="527"/>
      <c r="U88" s="526" t="s">
        <v>132</v>
      </c>
      <c r="V88" s="527"/>
      <c r="W88" s="487" t="s">
        <v>183</v>
      </c>
      <c r="X88" s="533"/>
      <c r="Y88" s="488"/>
    </row>
    <row r="89" spans="2:25" ht="22" customHeight="1" thickBot="1">
      <c r="B89" s="509"/>
      <c r="C89" s="510"/>
      <c r="D89" s="510"/>
      <c r="E89" s="510"/>
      <c r="F89" s="510"/>
      <c r="G89" s="510"/>
      <c r="H89" s="510"/>
      <c r="I89" s="510"/>
      <c r="J89" s="510"/>
      <c r="K89" s="511"/>
      <c r="O89" s="520"/>
      <c r="P89" s="521"/>
      <c r="Q89" s="524"/>
      <c r="R89" s="525"/>
      <c r="S89" s="528"/>
      <c r="T89" s="529"/>
      <c r="U89" s="528"/>
      <c r="V89" s="529"/>
      <c r="W89" s="489"/>
      <c r="X89" s="534"/>
      <c r="Y89" s="490"/>
    </row>
    <row r="90" spans="2:25" ht="47" customHeight="1" thickBot="1">
      <c r="B90" s="504"/>
      <c r="C90" s="505"/>
      <c r="D90" s="505"/>
      <c r="E90" s="505"/>
      <c r="F90" s="505"/>
      <c r="G90" s="505"/>
      <c r="H90" s="505"/>
      <c r="I90" s="505"/>
      <c r="J90" s="505"/>
      <c r="K90" s="506"/>
      <c r="O90" s="530" t="s">
        <v>184</v>
      </c>
      <c r="P90" s="531"/>
      <c r="Q90" s="531"/>
      <c r="R90" s="531"/>
      <c r="S90" s="531"/>
      <c r="T90" s="531"/>
      <c r="U90" s="531"/>
      <c r="V90" s="531"/>
      <c r="W90" s="531"/>
      <c r="X90" s="531"/>
      <c r="Y90" s="532"/>
    </row>
    <row r="91" spans="2:25" ht="92" customHeight="1" thickBot="1">
      <c r="B91" s="383" t="str">
        <f>'DETAILED MODELLER - PERSON 1'!C131</f>
        <v>Year</v>
      </c>
      <c r="C91" s="384" t="s">
        <v>91</v>
      </c>
      <c r="D91" s="384" t="str">
        <f>'DETAILED MODELLER - PERSON 1'!D131</f>
        <v>Historical RPI applied by Pension Plan and Personal Forecast RPI</v>
      </c>
      <c r="E91" s="385" t="s">
        <v>194</v>
      </c>
      <c r="F91" s="386" t="str">
        <f>'DETAILED MODELLER - PERSON 1'!E131</f>
        <v>Digital Pension</v>
      </c>
      <c r="G91" s="387" t="str">
        <f>'DETAILED MODELLER - PERSON 1'!F131</f>
        <v>Pension with RPI applied</v>
      </c>
      <c r="H91" s="387" t="str">
        <f>'DETAILED MODELLER - PERSON 1'!G131</f>
        <v xml:space="preserve"> Shortfall Against RPI INCREASES</v>
      </c>
      <c r="I91" s="388" t="str">
        <f>'DETAILED MODELLER - PERSON 1'!H131</f>
        <v>Your Pension Buying Power</v>
      </c>
      <c r="J91" s="389" t="str">
        <f>'DETAILED MODELLER - PERSON 1'!I131</f>
        <v>Cumulative Shortfall against RPI Pension</v>
      </c>
      <c r="K91" s="390" t="str">
        <f>I91</f>
        <v>Your Pension Buying Power</v>
      </c>
      <c r="O91" s="518" t="s">
        <v>105</v>
      </c>
      <c r="P91" s="519"/>
      <c r="Q91" s="522" t="s">
        <v>98</v>
      </c>
      <c r="R91" s="523"/>
      <c r="S91" s="526" t="s">
        <v>100</v>
      </c>
      <c r="T91" s="527"/>
      <c r="U91" s="526" t="s">
        <v>99</v>
      </c>
      <c r="V91" s="527"/>
      <c r="W91" s="487" t="s">
        <v>101</v>
      </c>
      <c r="X91" s="533"/>
      <c r="Y91" s="488"/>
    </row>
    <row r="92" spans="2:25" ht="111" customHeight="1" thickBot="1">
      <c r="B92" s="391"/>
      <c r="C92" s="392"/>
      <c r="D92" s="393"/>
      <c r="E92" s="398" t="s">
        <v>209</v>
      </c>
      <c r="F92" s="399" t="s">
        <v>161</v>
      </c>
      <c r="G92" s="400" t="s">
        <v>106</v>
      </c>
      <c r="H92" s="400" t="s">
        <v>107</v>
      </c>
      <c r="I92" s="401" t="s">
        <v>108</v>
      </c>
      <c r="J92" s="402" t="s">
        <v>205</v>
      </c>
      <c r="K92" s="394" t="s">
        <v>207</v>
      </c>
      <c r="M92" s="243" t="s">
        <v>0</v>
      </c>
      <c r="N92" s="256" t="s">
        <v>91</v>
      </c>
      <c r="O92" s="215" t="s">
        <v>57</v>
      </c>
      <c r="P92" s="232" t="s">
        <v>104</v>
      </c>
      <c r="Q92" s="216" t="s">
        <v>57</v>
      </c>
      <c r="R92" s="217" t="s">
        <v>104</v>
      </c>
      <c r="S92" s="218" t="s">
        <v>57</v>
      </c>
      <c r="T92" s="219" t="s">
        <v>104</v>
      </c>
      <c r="U92" s="218" t="s">
        <v>57</v>
      </c>
      <c r="V92" s="219" t="s">
        <v>104</v>
      </c>
      <c r="W92" s="220" t="s">
        <v>71</v>
      </c>
      <c r="X92" s="221" t="s">
        <v>103</v>
      </c>
      <c r="Y92" s="222" t="s">
        <v>104</v>
      </c>
    </row>
    <row r="93" spans="2:25" ht="19">
      <c r="B93" s="203">
        <f>'DETAILED MODELLER - PERSON 1'!C133</f>
        <v>2017</v>
      </c>
      <c r="C93" s="214">
        <f>'DETAILED MODELLER - PERSON 1'!D18</f>
        <v>62</v>
      </c>
      <c r="D93" s="197">
        <f>'DETAILED MODELLER - PERSON 1'!D133</f>
        <v>2.5999999999999999E-2</v>
      </c>
      <c r="E93" s="204">
        <f>'DETAILED MODELLER - PERSON 1'!M18</f>
        <v>0</v>
      </c>
      <c r="F93" s="224">
        <f>'DETAILED MODELLER - PERSON 1'!E133</f>
        <v>15041.052631578947</v>
      </c>
      <c r="G93" s="225">
        <f>'DETAILED MODELLER - PERSON 1'!F133</f>
        <v>15390</v>
      </c>
      <c r="H93" s="442">
        <f>'DETAILED MODELLER - PERSON 1'!G133</f>
        <v>-348.9473684210534</v>
      </c>
      <c r="I93" s="226">
        <f>'DETAILED MODELLER - PERSON 1'!H133</f>
        <v>14692.105263157893</v>
      </c>
      <c r="J93" s="445">
        <f>'DETAILED MODELLER - PERSON 1'!I133</f>
        <v>-348.9473684210534</v>
      </c>
      <c r="K93" s="395">
        <f>I93/F93</f>
        <v>0.97680033592273774</v>
      </c>
      <c r="M93" s="244">
        <f>'DETAILED MODELLER - PERSON 1'!V6</f>
        <v>2021</v>
      </c>
      <c r="N93" s="257">
        <f>IF(ISERROR(VLOOKUP(M93,$B$93:$C$122,2,FALSE)),"BEYOND RANGE",VLOOKUP(M93,B93:C122,2,FALSE))</f>
        <v>66</v>
      </c>
      <c r="O93" s="223">
        <f>IF(ISERROR(VLOOKUP(M93,'DETAILED MODELLER - PERSON 1'!$L$18:$AW$47,2,FALSE)),"-",VLOOKUP(M93,'DETAILED MODELLER - PERSON 1'!$L$18:$AW$47,9,FALSE))</f>
        <v>0.01</v>
      </c>
      <c r="P93" s="356">
        <f>IF(ISERROR(VLOOKUP(M93,'DETAILED MODELLER - PERSON 1'!$L$18:$AW$47,2,FALSE)),0,VLOOKUP(M93,'DETAILED MODELLER - PERSON 1'!$L$18:$AW$47,10,FALSE))</f>
        <v>167.86351476987872</v>
      </c>
      <c r="Q93" s="223">
        <f>IF(ISERROR(VLOOKUP(M93,'DETAILED MODELLER - PERSON 1'!$L$18:$AW$47,1,FALSE)),"-",VLOOKUP(M93,'DETAILED MODELLER - PERSON 1'!$L$18:$AW$47,15,FALSE))</f>
        <v>0.02</v>
      </c>
      <c r="R93" s="294">
        <f>IF(ISERROR(VLOOKUP(M93,'DETAILED MODELLER - PERSON 1'!$L$18:$AW$47,1,FALSE)),0,VLOOKUP(M93,'DETAILED MODELLER - PERSON 1'!$L$18:$AW$47,16,FALSE))</f>
        <v>303.75302672644722</v>
      </c>
      <c r="S93" s="223">
        <f>IF(ISERROR(VLOOKUP(M93,'DETAILED MODELLER - PERSON 1'!$L$18:$AW$47,1,FALSE)),"-",VLOOKUP(M93,'DETAILED MODELLER - PERSON 1'!$L$18:$AW$47,21,FALSE))</f>
        <v>0.01</v>
      </c>
      <c r="T93" s="294">
        <f>IF(ISERROR(VLOOKUP(M93,'DETAILED MODELLER - PERSON 1'!$L$18:$AW$47,1,FALSE)),0,VLOOKUP(M93,'DETAILED MODELLER - PERSON 1'!$L$18:$AW$47,22,FALSE))</f>
        <v>167.86351476987872</v>
      </c>
      <c r="U93" s="223">
        <f>IF(ISERROR(VLOOKUP(M93,'DETAILED MODELLER - PERSON 1'!$L$18:$AW$47,1,FALSE)),"-",VLOOKUP(M93,'DETAILED MODELLER - PERSON 1'!$L$18:$AW$47,27,FALSE))</f>
        <v>0.01</v>
      </c>
      <c r="V93" s="294">
        <f>IF(ISERROR(VLOOKUP(M93,'DETAILED MODELLER - PERSON 1'!$L$18:$AW$47,1,FALSE)),0,VLOOKUP(M93,'DETAILED MODELLER - PERSON 1'!$L$18:$AW$47,28,FALSE))</f>
        <v>167.86351476987872</v>
      </c>
      <c r="W93" s="223">
        <f>IF(ISERROR(VLOOKUP(M93,'DETAILED MODELLER - PERSON 1'!$L$18:$AW$47,1,FALSE)),"-",VLOOKUP(M93,'DETAILED MODELLER - PERSON 1'!$L$18:$AW$47,34,FALSE))</f>
        <v>0.02</v>
      </c>
      <c r="X93" s="223">
        <f>IF(ISERROR(VLOOKUP(M93,'DETAILED MODELLER - PERSON 1'!$L$18:$AW$47,1,FALSE)),"-",VLOOKUP(M93,'DETAILED MODELLER - PERSON 1'!$L$18:$AW$47,33,FALSE))</f>
        <v>1</v>
      </c>
      <c r="Y93" s="357">
        <f>IF(ISERROR(VLOOKUP(M93,'DETAILED MODELLER - PERSON 1'!$L$18:$AW$47,1,FALSE)),0,VLOOKUP(M93,'DETAILED MODELLER - PERSON 1'!$L$18:$AW$47,35,FALSE))</f>
        <v>303.75302672644722</v>
      </c>
    </row>
    <row r="94" spans="2:25" ht="19">
      <c r="B94" s="199">
        <f>'DETAILED MODELLER - PERSON 1'!C134</f>
        <v>2018</v>
      </c>
      <c r="C94" s="211">
        <f>'DETAILED MODELLER - PERSON 1'!D19</f>
        <v>63</v>
      </c>
      <c r="D94" s="196">
        <f>'DETAILED MODELLER - PERSON 1'!D134</f>
        <v>0.04</v>
      </c>
      <c r="E94" s="198">
        <f>'DETAILED MODELLER - PERSON 1'!M19</f>
        <v>0</v>
      </c>
      <c r="F94" s="165">
        <f>'DETAILED MODELLER - PERSON 1'!E134</f>
        <v>15104.383379501383</v>
      </c>
      <c r="G94" s="227">
        <f>'DETAILED MODELLER - PERSON 1'!F134</f>
        <v>16005.6</v>
      </c>
      <c r="H94" s="443">
        <f>'DETAILED MODELLER - PERSON 1'!G134</f>
        <v>-901.21662049861698</v>
      </c>
      <c r="I94" s="228">
        <f>'DETAILED MODELLER - PERSON 1'!H134</f>
        <v>14203.166759002766</v>
      </c>
      <c r="J94" s="446">
        <f>'DETAILED MODELLER - PERSON 1'!I134</f>
        <v>-1250.1639889196704</v>
      </c>
      <c r="K94" s="396">
        <f t="shared" ref="K94:K122" si="0">I94/F94</f>
        <v>0.94033410051537192</v>
      </c>
      <c r="M94" s="244">
        <f>M93+1</f>
        <v>2022</v>
      </c>
      <c r="N94" s="257">
        <f>IF(ISERROR(VLOOKUP(M94,$B$93:$C$122,2,FALSE)),"BEYOND RANGE",VLOOKUP(M94,B94:C123,2,FALSE))</f>
        <v>67</v>
      </c>
      <c r="O94" s="223">
        <f>IF(ISERROR(VLOOKUP(M94,'DETAILED MODELLER - PERSON 1'!$L$18:$AW$47,2,FALSE)),"-",VLOOKUP(M94,'DETAILED MODELLER - PERSON 1'!$L$18:$AW$47,9,FALSE))</f>
        <v>0</v>
      </c>
      <c r="P94" s="356">
        <f>IF(ISERROR(VLOOKUP(M94,'DETAILED MODELLER - PERSON 1'!$L$18:$AW$47,2,FALSE)),0,VLOOKUP(M94,'DETAILED MODELLER - PERSON 1'!$L$18:$AW$47,10,FALSE))</f>
        <v>32.327399686509978</v>
      </c>
      <c r="Q94" s="223">
        <f>IF(ISERROR(VLOOKUP(M94,'DETAILED MODELLER - PERSON 1'!$L$18:$AW$47,1,FALSE)),"-",VLOOKUP(M94,'DETAILED MODELLER - PERSON 1'!$L$18:$AW$47,15,FALSE))</f>
        <v>0</v>
      </c>
      <c r="R94" s="294">
        <f>IF(ISERROR(VLOOKUP(M94,'DETAILED MODELLER - PERSON 1'!$L$18:$AW$47,1,FALSE)),0,VLOOKUP(M94,'DETAILED MODELLER - PERSON 1'!$L$18:$AW$47,16,FALSE))</f>
        <v>32.61348286957643</v>
      </c>
      <c r="S94" s="223">
        <f>IF(ISERROR(VLOOKUP(M94,'DETAILED MODELLER - PERSON 1'!$L$18:$AW$47,1,FALSE)),"-",VLOOKUP(M94,'DETAILED MODELLER - PERSON 1'!$L$18:$AW$47,21,FALSE))</f>
        <v>0.01</v>
      </c>
      <c r="T94" s="294">
        <f>IF(ISERROR(VLOOKUP(M94,'DETAILED MODELLER - PERSON 1'!$L$18:$AW$47,1,FALSE)),0,VLOOKUP(M94,'DETAILED MODELLER - PERSON 1'!$L$18:$AW$47,22,FALSE))</f>
        <v>169.7188483541774</v>
      </c>
      <c r="U94" s="223">
        <f>IF(ISERROR(VLOOKUP(M94,'DETAILED MODELLER - PERSON 1'!$L$18:$AW$47,1,FALSE)),"-",VLOOKUP(M94,'DETAILED MODELLER - PERSON 1'!$L$18:$AW$47,27,FALSE))</f>
        <v>0.01</v>
      </c>
      <c r="V94" s="294">
        <f>IF(ISERROR(VLOOKUP(M94,'DETAILED MODELLER - PERSON 1'!$L$18:$AW$47,1,FALSE)),0,VLOOKUP(M94,'DETAILED MODELLER - PERSON 1'!$L$18:$AW$47,28,FALSE))</f>
        <v>169.7188483541774</v>
      </c>
      <c r="W94" s="223">
        <f>IF(ISERROR(VLOOKUP(M94,'DETAILED MODELLER - PERSON 1'!$L$18:$AW$47,1,FALSE)),"-",VLOOKUP(M94,'DETAILED MODELLER - PERSON 1'!$L$18:$AW$47,34,FALSE))</f>
        <v>0.02</v>
      </c>
      <c r="X94" s="223">
        <f>IF(ISERROR(VLOOKUP(M94,'DETAILED MODELLER - PERSON 1'!$L$18:$AW$47,1,FALSE)),"-",VLOOKUP(M94,'DETAILED MODELLER - PERSON 1'!$L$18:$AW$47,33,FALSE))</f>
        <v>1</v>
      </c>
      <c r="Y94" s="357">
        <f>IF(ISERROR(VLOOKUP(M94,'DETAILED MODELLER - PERSON 1'!$L$18:$AW$47,1,FALSE)),0,VLOOKUP(M94,'DETAILED MODELLER - PERSON 1'!$L$18:$AW$47,35,FALSE))</f>
        <v>309.82808726097613</v>
      </c>
    </row>
    <row r="95" spans="2:25" ht="19">
      <c r="B95" s="199">
        <f>'DETAILED MODELLER - PERSON 1'!C135</f>
        <v>2019</v>
      </c>
      <c r="C95" s="211">
        <f>'DETAILED MODELLER - PERSON 1'!D20</f>
        <v>64</v>
      </c>
      <c r="D95" s="196">
        <f>'DETAILED MODELLER - PERSON 1'!D135</f>
        <v>2.5399999999999999E-2</v>
      </c>
      <c r="E95" s="198">
        <f>'DETAILED MODELLER - PERSON 1'!M20</f>
        <v>0</v>
      </c>
      <c r="F95" s="165">
        <f>'DETAILED MODELLER - PERSON 1'!E135</f>
        <v>15144.767730852893</v>
      </c>
      <c r="G95" s="227">
        <f>'DETAILED MODELLER - PERSON 1'!F135</f>
        <v>16412.142240000001</v>
      </c>
      <c r="H95" s="443">
        <f>'DETAILED MODELLER - PERSON 1'!G135</f>
        <v>-1267.3745091471083</v>
      </c>
      <c r="I95" s="228">
        <f>'DETAILED MODELLER - PERSON 1'!H135</f>
        <v>13877.393221705785</v>
      </c>
      <c r="J95" s="446">
        <f>'DETAILED MODELLER - PERSON 1'!I135</f>
        <v>-2517.5384980667786</v>
      </c>
      <c r="K95" s="396">
        <f t="shared" si="0"/>
        <v>0.91631601542721486</v>
      </c>
      <c r="M95" s="244">
        <f t="shared" ref="M95:M122" si="1">M94+1</f>
        <v>2023</v>
      </c>
      <c r="N95" s="257">
        <f t="shared" ref="N95:N100" si="2">IF(ISERROR(VLOOKUP(M95,$B$93:$C$122,2,FALSE)),"BEYOND RANGE",VLOOKUP(M95,B95:C126,2,FALSE))</f>
        <v>68</v>
      </c>
      <c r="O95" s="223">
        <f>IF(ISERROR(VLOOKUP(M95,'DETAILED MODELLER - PERSON 1'!$L$18:$AW$47,2,FALSE)),"-",VLOOKUP(M95,'DETAILED MODELLER - PERSON 1'!$L$18:$AW$47,9,FALSE))</f>
        <v>0</v>
      </c>
      <c r="P95" s="356">
        <f>IF(ISERROR(VLOOKUP(M95,'DETAILED MODELLER - PERSON 1'!$L$18:$AW$47,2,FALSE)),0,VLOOKUP(M95,'DETAILED MODELLER - PERSON 1'!$L$18:$AW$47,10,FALSE))</f>
        <v>32.39545737006052</v>
      </c>
      <c r="Q95" s="223">
        <f>IF(ISERROR(VLOOKUP(M95,'DETAILED MODELLER - PERSON 1'!$L$18:$AW$47,1,FALSE)),"-",VLOOKUP(M95,'DETAILED MODELLER - PERSON 1'!$L$18:$AW$47,15,FALSE))</f>
        <v>0.02</v>
      </c>
      <c r="R95" s="294">
        <f>IF(ISERROR(VLOOKUP(M95,'DETAILED MODELLER - PERSON 1'!$L$18:$AW$47,1,FALSE)),0,VLOOKUP(M95,'DETAILED MODELLER - PERSON 1'!$L$18:$AW$47,16,FALSE))</f>
        <v>310.48035691836765</v>
      </c>
      <c r="S95" s="223">
        <f>IF(ISERROR(VLOOKUP(M95,'DETAILED MODELLER - PERSON 1'!$L$18:$AW$47,1,FALSE)),"-",VLOOKUP(M95,'DETAILED MODELLER - PERSON 1'!$L$18:$AW$47,21,FALSE))</f>
        <v>0.01</v>
      </c>
      <c r="T95" s="294">
        <f>IF(ISERROR(VLOOKUP(M95,'DETAILED MODELLER - PERSON 1'!$L$18:$AW$47,1,FALSE)),0,VLOOKUP(M95,'DETAILED MODELLER - PERSON 1'!$L$18:$AW$47,22,FALSE))</f>
        <v>171.59468825703937</v>
      </c>
      <c r="U95" s="223">
        <f>IF(ISERROR(VLOOKUP(M95,'DETAILED MODELLER - PERSON 1'!$L$18:$AW$47,1,FALSE)),"-",VLOOKUP(M95,'DETAILED MODELLER - PERSON 1'!$L$18:$AW$47,27,FALSE))</f>
        <v>0.02</v>
      </c>
      <c r="V95" s="294">
        <f>IF(ISERROR(VLOOKUP(M95,'DETAILED MODELLER - PERSON 1'!$L$18:$AW$47,1,FALSE)),0,VLOOKUP(M95,'DETAILED MODELLER - PERSON 1'!$L$18:$AW$47,28,FALSE))</f>
        <v>310.50467398892835</v>
      </c>
      <c r="W95" s="223">
        <f>IF(ISERROR(VLOOKUP(M95,'DETAILED MODELLER - PERSON 1'!$L$18:$AW$47,1,FALSE)),"-",VLOOKUP(M95,'DETAILED MODELLER - PERSON 1'!$L$18:$AW$47,34,FALSE))</f>
        <v>0.02</v>
      </c>
      <c r="X95" s="223">
        <f>IF(ISERROR(VLOOKUP(M95,'DETAILED MODELLER - PERSON 1'!$L$18:$AW$47,1,FALSE)),"-",VLOOKUP(M95,'DETAILED MODELLER - PERSON 1'!$L$18:$AW$47,33,FALSE))</f>
        <v>1</v>
      </c>
      <c r="Y95" s="357">
        <f>IF(ISERROR(VLOOKUP(M95,'DETAILED MODELLER - PERSON 1'!$L$18:$AW$47,1,FALSE)),0,VLOOKUP(M95,'DETAILED MODELLER - PERSON 1'!$L$18:$AW$47,35,FALSE))</f>
        <v>316.02464900619566</v>
      </c>
    </row>
    <row r="96" spans="2:25" ht="19">
      <c r="B96" s="199">
        <f>'DETAILED MODELLER - PERSON 1'!C136</f>
        <v>2020</v>
      </c>
      <c r="C96" s="211">
        <f>'DETAILED MODELLER - PERSON 1'!D21</f>
        <v>65</v>
      </c>
      <c r="D96" s="196">
        <f>'DETAILED MODELLER - PERSON 1'!D136</f>
        <v>2.69E-2</v>
      </c>
      <c r="E96" s="198">
        <f>'DETAILED MODELLER - PERSON 1'!M21</f>
        <v>0</v>
      </c>
      <c r="F96" s="165">
        <f>'DETAILED MODELLER - PERSON 1'!E136</f>
        <v>15187.65133632236</v>
      </c>
      <c r="G96" s="227">
        <f>'DETAILED MODELLER - PERSON 1'!F136</f>
        <v>16853.628866256</v>
      </c>
      <c r="H96" s="443">
        <f>'DETAILED MODELLER - PERSON 1'!G136</f>
        <v>-1665.9775299336397</v>
      </c>
      <c r="I96" s="228">
        <f>'DETAILED MODELLER - PERSON 1'!H136</f>
        <v>13521.673806388721</v>
      </c>
      <c r="J96" s="446">
        <f>'DETAILED MODELLER - PERSON 1'!I136</f>
        <v>-4183.5160280004184</v>
      </c>
      <c r="K96" s="396">
        <f t="shared" si="0"/>
        <v>0.89030709929787932</v>
      </c>
      <c r="M96" s="244">
        <f t="shared" si="1"/>
        <v>2024</v>
      </c>
      <c r="N96" s="257">
        <f t="shared" si="2"/>
        <v>69</v>
      </c>
      <c r="O96" s="223">
        <f>IF(ISERROR(VLOOKUP(M96,'DETAILED MODELLER - PERSON 1'!$L$18:$AW$47,2,FALSE)),"-",VLOOKUP(M96,'DETAILED MODELLER - PERSON 1'!$L$18:$AW$47,9,FALSE))</f>
        <v>0</v>
      </c>
      <c r="P96" s="356">
        <f>IF(ISERROR(VLOOKUP(M96,'DETAILED MODELLER - PERSON 1'!$L$18:$AW$47,2,FALSE)),0,VLOOKUP(M96,'DETAILED MODELLER - PERSON 1'!$L$18:$AW$47,10,FALSE))</f>
        <v>32.46365833294486</v>
      </c>
      <c r="Q96" s="223">
        <f>IF(ISERROR(VLOOKUP(M96,'DETAILED MODELLER - PERSON 1'!$L$18:$AW$47,1,FALSE)),"-",VLOOKUP(M96,'DETAILED MODELLER - PERSON 1'!$L$18:$AW$47,15,FALSE))</f>
        <v>0</v>
      </c>
      <c r="R96" s="294">
        <f>IF(ISERROR(VLOOKUP(M96,'DETAILED MODELLER - PERSON 1'!$L$18:$AW$47,1,FALSE)),0,VLOOKUP(M96,'DETAILED MODELLER - PERSON 1'!$L$18:$AW$47,16,FALSE))</f>
        <v>33.335785690182632</v>
      </c>
      <c r="S96" s="223">
        <f>IF(ISERROR(VLOOKUP(M96,'DETAILED MODELLER - PERSON 1'!$L$18:$AW$47,1,FALSE)),"-",VLOOKUP(M96,'DETAILED MODELLER - PERSON 1'!$L$18:$AW$47,21,FALSE))</f>
        <v>0.01</v>
      </c>
      <c r="T96" s="294">
        <f>IF(ISERROR(VLOOKUP(M96,'DETAILED MODELLER - PERSON 1'!$L$18:$AW$47,1,FALSE)),0,VLOOKUP(M96,'DETAILED MODELLER - PERSON 1'!$L$18:$AW$47,22,FALSE))</f>
        <v>173.49126112724872</v>
      </c>
      <c r="U96" s="223">
        <f>IF(ISERROR(VLOOKUP(M96,'DETAILED MODELLER - PERSON 1'!$L$18:$AW$47,1,FALSE)),"-",VLOOKUP(M96,'DETAILED MODELLER - PERSON 1'!$L$18:$AW$47,27,FALSE))</f>
        <v>0.01</v>
      </c>
      <c r="V96" s="294">
        <f>IF(ISERROR(VLOOKUP(M96,'DETAILED MODELLER - PERSON 1'!$L$18:$AW$47,1,FALSE)),0,VLOOKUP(M96,'DETAILED MODELLER - PERSON 1'!$L$18:$AW$47,28,FALSE))</f>
        <v>175.02658202218012</v>
      </c>
      <c r="W96" s="223">
        <f>IF(ISERROR(VLOOKUP(M96,'DETAILED MODELLER - PERSON 1'!$L$18:$AW$47,1,FALSE)),"-",VLOOKUP(M96,'DETAILED MODELLER - PERSON 1'!$L$18:$AW$47,34,FALSE))</f>
        <v>0.02</v>
      </c>
      <c r="X96" s="223">
        <f>IF(ISERROR(VLOOKUP(M96,'DETAILED MODELLER - PERSON 1'!$L$18:$AW$47,1,FALSE)),"-",VLOOKUP(M96,'DETAILED MODELLER - PERSON 1'!$L$18:$AW$47,33,FALSE))</f>
        <v>1</v>
      </c>
      <c r="Y96" s="357">
        <f>IF(ISERROR(VLOOKUP(M96,'DETAILED MODELLER - PERSON 1'!$L$18:$AW$47,1,FALSE)),0,VLOOKUP(M96,'DETAILED MODELLER - PERSON 1'!$L$18:$AW$47,35,FALSE))</f>
        <v>322.34514198631962</v>
      </c>
    </row>
    <row r="97" spans="2:25" ht="19">
      <c r="B97" s="199">
        <f>'DETAILED MODELLER - PERSON 1'!C137</f>
        <v>2021</v>
      </c>
      <c r="C97" s="211">
        <f>'DETAILED MODELLER - PERSON 1'!D22</f>
        <v>66</v>
      </c>
      <c r="D97" s="196">
        <f>'DETAILED MODELLER - PERSON 1'!D137</f>
        <v>0.02</v>
      </c>
      <c r="E97" s="198">
        <f>'DETAILED MODELLER - PERSON 1'!M22</f>
        <v>0</v>
      </c>
      <c r="F97" s="165">
        <f>'DETAILED MODELLER - PERSON 1'!E137</f>
        <v>15219.625339135671</v>
      </c>
      <c r="G97" s="227">
        <f>'DETAILED MODELLER - PERSON 1'!F137</f>
        <v>17190.701443581122</v>
      </c>
      <c r="H97" s="443">
        <f>'DETAILED MODELLER - PERSON 1'!G137</f>
        <v>-1971.0761044454503</v>
      </c>
      <c r="I97" s="228">
        <f>'DETAILED MODELLER - PERSON 1'!H137</f>
        <v>13248.549234690221</v>
      </c>
      <c r="J97" s="446">
        <f>'DETAILED MODELLER - PERSON 1'!I137</f>
        <v>-6154.5921324458686</v>
      </c>
      <c r="K97" s="396">
        <f t="shared" si="0"/>
        <v>0.87049115464248428</v>
      </c>
      <c r="M97" s="244">
        <f t="shared" si="1"/>
        <v>2025</v>
      </c>
      <c r="N97" s="257">
        <f t="shared" si="2"/>
        <v>70</v>
      </c>
      <c r="O97" s="223">
        <f>IF(ISERROR(VLOOKUP(M97,'DETAILED MODELLER - PERSON 1'!$L$18:$AW$47,2,FALSE)),"-",VLOOKUP(M97,'DETAILED MODELLER - PERSON 1'!$L$18:$AW$47,9,FALSE))</f>
        <v>0</v>
      </c>
      <c r="P97" s="356">
        <f>IF(ISERROR(VLOOKUP(M97,'DETAILED MODELLER - PERSON 1'!$L$18:$AW$47,2,FALSE)),0,VLOOKUP(M97,'DETAILED MODELLER - PERSON 1'!$L$18:$AW$47,10,FALSE))</f>
        <v>32.532002876803695</v>
      </c>
      <c r="Q97" s="223">
        <f>IF(ISERROR(VLOOKUP(M97,'DETAILED MODELLER - PERSON 1'!$L$18:$AW$47,1,FALSE)),"-",VLOOKUP(M97,'DETAILED MODELLER - PERSON 1'!$L$18:$AW$47,15,FALSE))</f>
        <v>0.02</v>
      </c>
      <c r="R97" s="294">
        <f>IF(ISERROR(VLOOKUP(M97,'DETAILED MODELLER - PERSON 1'!$L$18:$AW$47,1,FALSE)),0,VLOOKUP(M97,'DETAILED MODELLER - PERSON 1'!$L$18:$AW$47,16,FALSE))</f>
        <v>317.35667977053868</v>
      </c>
      <c r="S97" s="223">
        <f>IF(ISERROR(VLOOKUP(M97,'DETAILED MODELLER - PERSON 1'!$L$18:$AW$47,1,FALSE)),"-",VLOOKUP(M97,'DETAILED MODELLER - PERSON 1'!$L$18:$AW$47,21,FALSE))</f>
        <v>0.01</v>
      </c>
      <c r="T97" s="294">
        <f>IF(ISERROR(VLOOKUP(M97,'DETAILED MODELLER - PERSON 1'!$L$18:$AW$47,1,FALSE)),0,VLOOKUP(M97,'DETAILED MODELLER - PERSON 1'!$L$18:$AW$47,22,FALSE))</f>
        <v>175.40879611865515</v>
      </c>
      <c r="U97" s="223">
        <f>IF(ISERROR(VLOOKUP(M97,'DETAILED MODELLER - PERSON 1'!$L$18:$AW$47,1,FALSE)),"-",VLOOKUP(M97,'DETAILED MODELLER - PERSON 1'!$L$18:$AW$47,27,FALSE))</f>
        <v>0.01</v>
      </c>
      <c r="V97" s="294">
        <f>IF(ISERROR(VLOOKUP(M97,'DETAILED MODELLER - PERSON 1'!$L$18:$AW$47,1,FALSE)),0,VLOOKUP(M97,'DETAILED MODELLER - PERSON 1'!$L$18:$AW$47,28,FALSE))</f>
        <v>176.96108634979367</v>
      </c>
      <c r="W97" s="223">
        <f>IF(ISERROR(VLOOKUP(M97,'DETAILED MODELLER - PERSON 1'!$L$18:$AW$47,1,FALSE)),"-",VLOOKUP(M97,'DETAILED MODELLER - PERSON 1'!$L$18:$AW$47,34,FALSE))</f>
        <v>0.02</v>
      </c>
      <c r="X97" s="223">
        <f>IF(ISERROR(VLOOKUP(M97,'DETAILED MODELLER - PERSON 1'!$L$18:$AW$47,1,FALSE)),"-",VLOOKUP(M97,'DETAILED MODELLER - PERSON 1'!$L$18:$AW$47,33,FALSE))</f>
        <v>1</v>
      </c>
      <c r="Y97" s="357">
        <f>IF(ISERROR(VLOOKUP(M97,'DETAILED MODELLER - PERSON 1'!$L$18:$AW$47,1,FALSE)),0,VLOOKUP(M97,'DETAILED MODELLER - PERSON 1'!$L$18:$AW$47,35,FALSE))</f>
        <v>328.79204482604598</v>
      </c>
    </row>
    <row r="98" spans="2:25" ht="19">
      <c r="B98" s="199">
        <f>'DETAILED MODELLER - PERSON 1'!C138</f>
        <v>2022</v>
      </c>
      <c r="C98" s="211">
        <f>'DETAILED MODELLER - PERSON 1'!D23</f>
        <v>67</v>
      </c>
      <c r="D98" s="196">
        <f>'DETAILED MODELLER - PERSON 1'!D138</f>
        <v>0.02</v>
      </c>
      <c r="E98" s="198">
        <f>'DETAILED MODELLER - PERSON 1'!M23</f>
        <v>0</v>
      </c>
      <c r="F98" s="165">
        <f>'DETAILED MODELLER - PERSON 1'!E138</f>
        <v>15251.666655639116</v>
      </c>
      <c r="G98" s="227">
        <f>'DETAILED MODELLER - PERSON 1'!F138</f>
        <v>17534.515472452746</v>
      </c>
      <c r="H98" s="443">
        <f>'DETAILED MODELLER - PERSON 1'!G138</f>
        <v>-2282.84881681363</v>
      </c>
      <c r="I98" s="228">
        <f>'DETAILED MODELLER - PERSON 1'!H138</f>
        <v>12968.817838825486</v>
      </c>
      <c r="J98" s="446">
        <f>'DETAILED MODELLER - PERSON 1'!I138</f>
        <v>-8437.4409492594987</v>
      </c>
      <c r="K98" s="396">
        <f t="shared" si="0"/>
        <v>0.85032135383252849</v>
      </c>
      <c r="M98" s="244">
        <f t="shared" si="1"/>
        <v>2026</v>
      </c>
      <c r="N98" s="257">
        <f t="shared" si="2"/>
        <v>71</v>
      </c>
      <c r="O98" s="223">
        <f>IF(ISERROR(VLOOKUP(M98,'DETAILED MODELLER - PERSON 1'!$L$18:$AW$47,2,FALSE)),"-",VLOOKUP(M98,'DETAILED MODELLER - PERSON 1'!$L$18:$AW$47,9,FALSE))</f>
        <v>0</v>
      </c>
      <c r="P98" s="356">
        <f>IF(ISERROR(VLOOKUP(M98,'DETAILED MODELLER - PERSON 1'!$L$18:$AW$47,2,FALSE)),0,VLOOKUP(M98,'DETAILED MODELLER - PERSON 1'!$L$18:$AW$47,10,FALSE))</f>
        <v>32.600491303912754</v>
      </c>
      <c r="Q98" s="223">
        <f>IF(ISERROR(VLOOKUP(M98,'DETAILED MODELLER - PERSON 1'!$L$18:$AW$47,1,FALSE)),"-",VLOOKUP(M98,'DETAILED MODELLER - PERSON 1'!$L$18:$AW$47,15,FALSE))</f>
        <v>0</v>
      </c>
      <c r="R98" s="294">
        <f>IF(ISERROR(VLOOKUP(M98,'DETAILED MODELLER - PERSON 1'!$L$18:$AW$47,1,FALSE)),0,VLOOKUP(M98,'DETAILED MODELLER - PERSON 1'!$L$18:$AW$47,16,FALSE))</f>
        <v>34.074085617468356</v>
      </c>
      <c r="S98" s="223">
        <f>IF(ISERROR(VLOOKUP(M98,'DETAILED MODELLER - PERSON 1'!$L$18:$AW$47,1,FALSE)),"-",VLOOKUP(M98,'DETAILED MODELLER - PERSON 1'!$L$18:$AW$47,21,FALSE))</f>
        <v>0.01</v>
      </c>
      <c r="T98" s="294">
        <f>IF(ISERROR(VLOOKUP(M98,'DETAILED MODELLER - PERSON 1'!$L$18:$AW$47,1,FALSE)),0,VLOOKUP(M98,'DETAILED MODELLER - PERSON 1'!$L$18:$AW$47,22,FALSE))</f>
        <v>177.34752491786136</v>
      </c>
      <c r="U98" s="223">
        <f>IF(ISERROR(VLOOKUP(M98,'DETAILED MODELLER - PERSON 1'!$L$18:$AW$47,1,FALSE)),"-",VLOOKUP(M98,'DETAILED MODELLER - PERSON 1'!$L$18:$AW$47,27,FALSE))</f>
        <v>0.02</v>
      </c>
      <c r="V98" s="294">
        <f>IF(ISERROR(VLOOKUP(M98,'DETAILED MODELLER - PERSON 1'!$L$18:$AW$47,1,FALSE)),0,VLOOKUP(M98,'DETAILED MODELLER - PERSON 1'!$L$18:$AW$47,28,FALSE))</f>
        <v>323.75452083614636</v>
      </c>
      <c r="W98" s="223">
        <f>IF(ISERROR(VLOOKUP(M98,'DETAILED MODELLER - PERSON 1'!$L$18:$AW$47,1,FALSE)),"-",VLOOKUP(M98,'DETAILED MODELLER - PERSON 1'!$L$18:$AW$47,34,FALSE))</f>
        <v>1.4999999999999999E-2</v>
      </c>
      <c r="X98" s="223">
        <f>IF(ISERROR(VLOOKUP(M98,'DETAILED MODELLER - PERSON 1'!$L$18:$AW$47,1,FALSE)),"-",VLOOKUP(M98,'DETAILED MODELLER - PERSON 1'!$L$18:$AW$47,33,FALSE))</f>
        <v>0.75</v>
      </c>
      <c r="Y98" s="357">
        <f>IF(ISERROR(VLOOKUP(M98,'DETAILED MODELLER - PERSON 1'!$L$18:$AW$47,1,FALSE)),0,VLOOKUP(M98,'DETAILED MODELLER - PERSON 1'!$L$18:$AW$47,35,FALSE))</f>
        <v>260.35138496883479</v>
      </c>
    </row>
    <row r="99" spans="2:25" ht="19">
      <c r="B99" s="199">
        <f>'DETAILED MODELLER - PERSON 1'!C139</f>
        <v>2023</v>
      </c>
      <c r="C99" s="211">
        <f>'DETAILED MODELLER - PERSON 1'!D24</f>
        <v>68</v>
      </c>
      <c r="D99" s="196">
        <f>'DETAILED MODELLER - PERSON 1'!D139</f>
        <v>0.02</v>
      </c>
      <c r="E99" s="198">
        <f>'DETAILED MODELLER - PERSON 1'!M24</f>
        <v>0</v>
      </c>
      <c r="F99" s="165">
        <f>'DETAILED MODELLER - PERSON 1'!E139</f>
        <v>15283.775427545725</v>
      </c>
      <c r="G99" s="227">
        <f>'DETAILED MODELLER - PERSON 1'!F139</f>
        <v>17885.205781901801</v>
      </c>
      <c r="H99" s="443">
        <f>'DETAILED MODELLER - PERSON 1'!G139</f>
        <v>-2601.4303543560764</v>
      </c>
      <c r="I99" s="228">
        <f>'DETAILED MODELLER - PERSON 1'!H139</f>
        <v>12682.345073189648</v>
      </c>
      <c r="J99" s="446">
        <f>'DETAILED MODELLER - PERSON 1'!I139</f>
        <v>-11038.871303615575</v>
      </c>
      <c r="K99" s="396">
        <f t="shared" si="0"/>
        <v>0.82979137800810943</v>
      </c>
      <c r="M99" s="244">
        <f t="shared" si="1"/>
        <v>2027</v>
      </c>
      <c r="N99" s="257">
        <f t="shared" si="2"/>
        <v>72</v>
      </c>
      <c r="O99" s="223">
        <f>IF(ISERROR(VLOOKUP(M99,'DETAILED MODELLER - PERSON 1'!$L$18:$AW$47,2,FALSE)),"-",VLOOKUP(M99,'DETAILED MODELLER - PERSON 1'!$L$18:$AW$47,9,FALSE))</f>
        <v>0</v>
      </c>
      <c r="P99" s="356">
        <f>IF(ISERROR(VLOOKUP(M99,'DETAILED MODELLER - PERSON 1'!$L$18:$AW$47,2,FALSE)),0,VLOOKUP(M99,'DETAILED MODELLER - PERSON 1'!$L$18:$AW$47,10,FALSE))</f>
        <v>32.669123917184145</v>
      </c>
      <c r="Q99" s="223">
        <f>IF(ISERROR(VLOOKUP(M99,'DETAILED MODELLER - PERSON 1'!$L$18:$AW$47,1,FALSE)),"-",VLOOKUP(M99,'DETAILED MODELLER - PERSON 1'!$L$18:$AW$47,15,FALSE))</f>
        <v>0.02</v>
      </c>
      <c r="R99" s="294">
        <f>IF(ISERROR(VLOOKUP(M99,'DETAILED MODELLER - PERSON 1'!$L$18:$AW$47,1,FALSE)),0,VLOOKUP(M99,'DETAILED MODELLER - PERSON 1'!$L$18:$AW$47,16,FALSE))</f>
        <v>324.38529507829878</v>
      </c>
      <c r="S99" s="223">
        <f>IF(ISERROR(VLOOKUP(M99,'DETAILED MODELLER - PERSON 1'!$L$18:$AW$47,1,FALSE)),"-",VLOOKUP(M99,'DETAILED MODELLER - PERSON 1'!$L$18:$AW$47,21,FALSE))</f>
        <v>0.01</v>
      </c>
      <c r="T99" s="294">
        <f>IF(ISERROR(VLOOKUP(M99,'DETAILED MODELLER - PERSON 1'!$L$18:$AW$47,1,FALSE)),0,VLOOKUP(M99,'DETAILED MODELLER - PERSON 1'!$L$18:$AW$47,22,FALSE))</f>
        <v>179.30768177221665</v>
      </c>
      <c r="U99" s="223">
        <f>IF(ISERROR(VLOOKUP(M99,'DETAILED MODELLER - PERSON 1'!$L$18:$AW$47,1,FALSE)),"-",VLOOKUP(M99,'DETAILED MODELLER - PERSON 1'!$L$18:$AW$47,27,FALSE))</f>
        <v>0.01</v>
      </c>
      <c r="V99" s="294">
        <f>IF(ISERROR(VLOOKUP(M99,'DETAILED MODELLER - PERSON 1'!$L$18:$AW$47,1,FALSE)),0,VLOOKUP(M99,'DETAILED MODELLER - PERSON 1'!$L$18:$AW$47,28,FALSE))</f>
        <v>182.4953114818488</v>
      </c>
      <c r="W99" s="223">
        <f>IF(ISERROR(VLOOKUP(M99,'DETAILED MODELLER - PERSON 1'!$L$18:$AW$47,1,FALSE)),"-",VLOOKUP(M99,'DETAILED MODELLER - PERSON 1'!$L$18:$AW$47,34,FALSE))</f>
        <v>1.4999999999999999E-2</v>
      </c>
      <c r="X99" s="223">
        <f>IF(ISERROR(VLOOKUP(M99,'DETAILED MODELLER - PERSON 1'!$L$18:$AW$47,1,FALSE)),"-",VLOOKUP(M99,'DETAILED MODELLER - PERSON 1'!$L$18:$AW$47,33,FALSE))</f>
        <v>0.75</v>
      </c>
      <c r="Y99" s="357">
        <f>IF(ISERROR(VLOOKUP(M99,'DETAILED MODELLER - PERSON 1'!$L$18:$AW$47,1,FALSE)),0,VLOOKUP(M99,'DETAILED MODELLER - PERSON 1'!$L$18:$AW$47,35,FALSE))</f>
        <v>264.39368278808774</v>
      </c>
    </row>
    <row r="100" spans="2:25" ht="19">
      <c r="B100" s="199">
        <f>'DETAILED MODELLER - PERSON 1'!C140</f>
        <v>2024</v>
      </c>
      <c r="C100" s="211">
        <f>'DETAILED MODELLER - PERSON 1'!D25</f>
        <v>69</v>
      </c>
      <c r="D100" s="196">
        <f>'DETAILED MODELLER - PERSON 1'!D140</f>
        <v>0.02</v>
      </c>
      <c r="E100" s="198">
        <f>'DETAILED MODELLER - PERSON 1'!M25</f>
        <v>0</v>
      </c>
      <c r="F100" s="165">
        <f>'DETAILED MODELLER - PERSON 1'!E140</f>
        <v>15315.951796866873</v>
      </c>
      <c r="G100" s="227">
        <f>'DETAILED MODELLER - PERSON 1'!F140</f>
        <v>18242.909897539837</v>
      </c>
      <c r="H100" s="443">
        <f>'DETAILED MODELLER - PERSON 1'!G140</f>
        <v>-2926.9581006729641</v>
      </c>
      <c r="I100" s="228">
        <f>'DETAILED MODELLER - PERSON 1'!H140</f>
        <v>12388.993696193909</v>
      </c>
      <c r="J100" s="446">
        <f>'DETAILED MODELLER - PERSON 1'!I140</f>
        <v>-13965.829404288539</v>
      </c>
      <c r="K100" s="396">
        <f t="shared" si="0"/>
        <v>0.80889479547253984</v>
      </c>
      <c r="M100" s="244">
        <f t="shared" si="1"/>
        <v>2028</v>
      </c>
      <c r="N100" s="257">
        <f t="shared" si="2"/>
        <v>73</v>
      </c>
      <c r="O100" s="223">
        <f>IF(ISERROR(VLOOKUP(M100,'DETAILED MODELLER - PERSON 1'!$L$18:$AW$47,2,FALSE)),"-",VLOOKUP(M100,'DETAILED MODELLER - PERSON 1'!$L$18:$AW$47,9,FALSE))</f>
        <v>0</v>
      </c>
      <c r="P100" s="356">
        <f>IF(ISERROR(VLOOKUP(M100,'DETAILED MODELLER - PERSON 1'!$L$18:$AW$47,2,FALSE)),0,VLOOKUP(M100,'DETAILED MODELLER - PERSON 1'!$L$18:$AW$47,10,FALSE))</f>
        <v>32.737901020167691</v>
      </c>
      <c r="Q100" s="223">
        <f>IF(ISERROR(VLOOKUP(M100,'DETAILED MODELLER - PERSON 1'!$L$18:$AW$47,1,FALSE)),"-",VLOOKUP(M100,'DETAILED MODELLER - PERSON 1'!$L$18:$AW$47,15,FALSE))</f>
        <v>0</v>
      </c>
      <c r="R100" s="294">
        <f>IF(ISERROR(VLOOKUP(M100,'DETAILED MODELLER - PERSON 1'!$L$18:$AW$47,1,FALSE)),0,VLOOKUP(M100,'DETAILED MODELLER - PERSON 1'!$L$18:$AW$47,16,FALSE))</f>
        <v>34.828736945248927</v>
      </c>
      <c r="S100" s="223">
        <f>IF(ISERROR(VLOOKUP(M100,'DETAILED MODELLER - PERSON 1'!$L$18:$AW$47,1,FALSE)),"-",VLOOKUP(M100,'DETAILED MODELLER - PERSON 1'!$L$18:$AW$47,21,FALSE))</f>
        <v>0.01</v>
      </c>
      <c r="T100" s="294">
        <f>IF(ISERROR(VLOOKUP(M100,'DETAILED MODELLER - PERSON 1'!$L$18:$AW$47,1,FALSE)),0,VLOOKUP(M100,'DETAILED MODELLER - PERSON 1'!$L$18:$AW$47,22,FALSE))</f>
        <v>181.28950351812009</v>
      </c>
      <c r="U100" s="223">
        <f>IF(ISERROR(VLOOKUP(M100,'DETAILED MODELLER - PERSON 1'!$L$18:$AW$47,1,FALSE)),"-",VLOOKUP(M100,'DETAILED MODELLER - PERSON 1'!$L$18:$AW$47,27,FALSE))</f>
        <v>0.01</v>
      </c>
      <c r="V100" s="294">
        <f>IF(ISERROR(VLOOKUP(M100,'DETAILED MODELLER - PERSON 1'!$L$18:$AW$47,1,FALSE)),0,VLOOKUP(M100,'DETAILED MODELLER - PERSON 1'!$L$18:$AW$47,28,FALSE))</f>
        <v>184.51236492454294</v>
      </c>
      <c r="W100" s="223">
        <f>IF(ISERROR(VLOOKUP(M100,'DETAILED MODELLER - PERSON 1'!$L$18:$AW$47,1,FALSE)),"-",VLOOKUP(M100,'DETAILED MODELLER - PERSON 1'!$L$18:$AW$47,34,FALSE))</f>
        <v>1.4999999999999999E-2</v>
      </c>
      <c r="X100" s="223">
        <f>IF(ISERROR(VLOOKUP(M100,'DETAILED MODELLER - PERSON 1'!$L$18:$AW$47,1,FALSE)),"-",VLOOKUP(M100,'DETAILED MODELLER - PERSON 1'!$L$18:$AW$47,33,FALSE))</f>
        <v>0.75</v>
      </c>
      <c r="Y100" s="357">
        <f>IF(ISERROR(VLOOKUP(M100,'DETAILED MODELLER - PERSON 1'!$L$18:$AW$47,1,FALSE)),0,VLOOKUP(M100,'DETAILED MODELLER - PERSON 1'!$L$18:$AW$47,35,FALSE))</f>
        <v>268.49874259979754</v>
      </c>
    </row>
    <row r="101" spans="2:25" ht="19">
      <c r="B101" s="199">
        <f>'DETAILED MODELLER - PERSON 1'!C141</f>
        <v>2025</v>
      </c>
      <c r="C101" s="211">
        <f>'DETAILED MODELLER - PERSON 1'!D26</f>
        <v>70</v>
      </c>
      <c r="D101" s="196">
        <f>'DETAILED MODELLER - PERSON 1'!D141</f>
        <v>0.02</v>
      </c>
      <c r="E101" s="198">
        <f>'DETAILED MODELLER - PERSON 1'!M26</f>
        <v>0</v>
      </c>
      <c r="F101" s="165">
        <f>'DETAILED MODELLER - PERSON 1'!E141</f>
        <v>15348.195905912909</v>
      </c>
      <c r="G101" s="227">
        <f>'DETAILED MODELLER - PERSON 1'!F141</f>
        <v>18607.768095490635</v>
      </c>
      <c r="H101" s="443">
        <f>'DETAILED MODELLER - PERSON 1'!G141</f>
        <v>-3259.572189577726</v>
      </c>
      <c r="I101" s="228">
        <f>'DETAILED MODELLER - PERSON 1'!H141</f>
        <v>12088.623716335183</v>
      </c>
      <c r="J101" s="446">
        <f>'DETAILED MODELLER - PERSON 1'!I141</f>
        <v>-17225.401593866263</v>
      </c>
      <c r="K101" s="396">
        <f t="shared" si="0"/>
        <v>0.78762505967740659</v>
      </c>
      <c r="M101" s="244">
        <f t="shared" si="1"/>
        <v>2029</v>
      </c>
      <c r="N101" s="257">
        <f>IF(ISERROR(VLOOKUP(M101,$B$93:$C$122,2,FALSE)),"BEYOND RANGE",VLOOKUP(M101,B101:C131,2,FALSE))</f>
        <v>74</v>
      </c>
      <c r="O101" s="223">
        <f>IF(ISERROR(VLOOKUP(M101,'DETAILED MODELLER - PERSON 1'!$L$18:$AW$47,2,FALSE)),"-",VLOOKUP(M101,'DETAILED MODELLER - PERSON 1'!$L$18:$AW$47,9,FALSE))</f>
        <v>0</v>
      </c>
      <c r="P101" s="356">
        <f>IF(ISERROR(VLOOKUP(M101,'DETAILED MODELLER - PERSON 1'!$L$18:$AW$47,2,FALSE)),0,VLOOKUP(M101,'DETAILED MODELLER - PERSON 1'!$L$18:$AW$47,10,FALSE))</f>
        <v>32.806822917052259</v>
      </c>
      <c r="Q101" s="223">
        <f>IF(ISERROR(VLOOKUP(M101,'DETAILED MODELLER - PERSON 1'!$L$18:$AW$47,1,FALSE)),"-",VLOOKUP(M101,'DETAILED MODELLER - PERSON 1'!$L$18:$AW$47,15,FALSE))</f>
        <v>0.02</v>
      </c>
      <c r="R101" s="294">
        <f>IF(ISERROR(VLOOKUP(M101,'DETAILED MODELLER - PERSON 1'!$L$18:$AW$47,1,FALSE)),0,VLOOKUP(M101,'DETAILED MODELLER - PERSON 1'!$L$18:$AW$47,16,FALSE))</f>
        <v>331.56957571876978</v>
      </c>
      <c r="S101" s="223">
        <f>IF(ISERROR(VLOOKUP(M101,'DETAILED MODELLER - PERSON 1'!$L$18:$AW$47,1,FALSE)),"-",VLOOKUP(M101,'DETAILED MODELLER - PERSON 1'!$L$18:$AW$47,21,FALSE))</f>
        <v>0.01</v>
      </c>
      <c r="T101" s="294">
        <f>IF(ISERROR(VLOOKUP(M101,'DETAILED MODELLER - PERSON 1'!$L$18:$AW$47,1,FALSE)),0,VLOOKUP(M101,'DETAILED MODELLER - PERSON 1'!$L$18:$AW$47,22,FALSE))</f>
        <v>183.29322960963617</v>
      </c>
      <c r="U101" s="223">
        <f>IF(ISERROR(VLOOKUP(M101,'DETAILED MODELLER - PERSON 1'!$L$18:$AW$47,1,FALSE)),"-",VLOOKUP(M101,'DETAILED MODELLER - PERSON 1'!$L$18:$AW$47,27,FALSE))</f>
        <v>0.02</v>
      </c>
      <c r="V101" s="294">
        <f>IF(ISERROR(VLOOKUP(M101,'DETAILED MODELLER - PERSON 1'!$L$18:$AW$47,1,FALSE)),0,VLOOKUP(M101,'DETAILED MODELLER - PERSON 1'!$L$18:$AW$47,28,FALSE))</f>
        <v>337.5697647809971</v>
      </c>
      <c r="W101" s="223">
        <f>IF(ISERROR(VLOOKUP(M101,'DETAILED MODELLER - PERSON 1'!$L$18:$AW$47,1,FALSE)),"-",VLOOKUP(M101,'DETAILED MODELLER - PERSON 1'!$L$18:$AW$47,34,FALSE))</f>
        <v>1.4999999999999999E-2</v>
      </c>
      <c r="X101" s="223">
        <f>IF(ISERROR(VLOOKUP(M101,'DETAILED MODELLER - PERSON 1'!$L$18:$AW$47,1,FALSE)),"-",VLOOKUP(M101,'DETAILED MODELLER - PERSON 1'!$L$18:$AW$47,33,FALSE))</f>
        <v>0.75</v>
      </c>
      <c r="Y101" s="357">
        <f>IF(ISERROR(VLOOKUP(M101,'DETAILED MODELLER - PERSON 1'!$L$18:$AW$47,1,FALSE)),0,VLOOKUP(M101,'DETAILED MODELLER - PERSON 1'!$L$18:$AW$47,35,FALSE))</f>
        <v>272.66753886647859</v>
      </c>
    </row>
    <row r="102" spans="2:25" ht="19">
      <c r="B102" s="199">
        <f>'DETAILED MODELLER - PERSON 1'!C142</f>
        <v>2026</v>
      </c>
      <c r="C102" s="211">
        <f>'DETAILED MODELLER - PERSON 1'!D27</f>
        <v>71</v>
      </c>
      <c r="D102" s="196">
        <f>'DETAILED MODELLER - PERSON 1'!D142</f>
        <v>0.02</v>
      </c>
      <c r="E102" s="198">
        <f>'DETAILED MODELLER - PERSON 1'!M27</f>
        <v>0</v>
      </c>
      <c r="F102" s="165">
        <f>'DETAILED MODELLER - PERSON 1'!E142</f>
        <v>15380.507897293779</v>
      </c>
      <c r="G102" s="227">
        <f>'DETAILED MODELLER - PERSON 1'!F142</f>
        <v>18979.923457400448</v>
      </c>
      <c r="H102" s="443">
        <f>'DETAILED MODELLER - PERSON 1'!G142</f>
        <v>-3599.4155601066686</v>
      </c>
      <c r="I102" s="228">
        <f>'DETAILED MODELLER - PERSON 1'!H142</f>
        <v>11781.09233718711</v>
      </c>
      <c r="J102" s="446">
        <f>'DETAILED MODELLER - PERSON 1'!I142</f>
        <v>-20824.81715397293</v>
      </c>
      <c r="K102" s="396">
        <f t="shared" si="0"/>
        <v>0.76597550717164609</v>
      </c>
      <c r="M102" s="244">
        <f t="shared" si="1"/>
        <v>2030</v>
      </c>
      <c r="N102" s="257">
        <f>IF(ISERROR(VLOOKUP(M102,$B$93:$C$122,2,FALSE)),"BEYOND RANGE",VLOOKUP(M102,B102:C131,2,FALSE))</f>
        <v>75</v>
      </c>
      <c r="O102" s="223">
        <f>IF(ISERROR(VLOOKUP(M102,'DETAILED MODELLER - PERSON 1'!$L$18:$AW$47,2,FALSE)),"-",VLOOKUP(M102,'DETAILED MODELLER - PERSON 1'!$L$18:$AW$47,9,FALSE))</f>
        <v>0</v>
      </c>
      <c r="P102" s="356">
        <f>IF(ISERROR(VLOOKUP(M102,'DETAILED MODELLER - PERSON 1'!$L$18:$AW$47,2,FALSE)),0,VLOOKUP(M102,'DETAILED MODELLER - PERSON 1'!$L$18:$AW$47,10,FALSE))</f>
        <v>32.875889912667105</v>
      </c>
      <c r="Q102" s="223">
        <f>IF(ISERROR(VLOOKUP(M102,'DETAILED MODELLER - PERSON 1'!$L$18:$AW$47,1,FALSE)),"-",VLOOKUP(M102,'DETAILED MODELLER - PERSON 1'!$L$18:$AW$47,15,FALSE))</f>
        <v>0</v>
      </c>
      <c r="R102" s="294">
        <f>IF(ISERROR(VLOOKUP(M102,'DETAILED MODELLER - PERSON 1'!$L$18:$AW$47,1,FALSE)),0,VLOOKUP(M102,'DETAILED MODELLER - PERSON 1'!$L$18:$AW$47,16,FALSE))</f>
        <v>35.600101814015282</v>
      </c>
      <c r="S102" s="223">
        <f>IF(ISERROR(VLOOKUP(M102,'DETAILED MODELLER - PERSON 1'!$L$18:$AW$47,1,FALSE)),"-",VLOOKUP(M102,'DETAILED MODELLER - PERSON 1'!$L$18:$AW$47,21,FALSE))</f>
        <v>0.01</v>
      </c>
      <c r="T102" s="294">
        <f>IF(ISERROR(VLOOKUP(M102,'DETAILED MODELLER - PERSON 1'!$L$18:$AW$47,1,FALSE)),0,VLOOKUP(M102,'DETAILED MODELLER - PERSON 1'!$L$18:$AW$47,22,FALSE))</f>
        <v>185.31910214742686</v>
      </c>
      <c r="U102" s="223">
        <f>IF(ISERROR(VLOOKUP(M102,'DETAILED MODELLER - PERSON 1'!$L$18:$AW$47,1,FALSE)),"-",VLOOKUP(M102,'DETAILED MODELLER - PERSON 1'!$L$18:$AW$47,27,FALSE))</f>
        <v>0.01</v>
      </c>
      <c r="V102" s="294">
        <f>IF(ISERROR(VLOOKUP(M102,'DETAILED MODELLER - PERSON 1'!$L$18:$AW$47,1,FALSE)),0,VLOOKUP(M102,'DETAILED MODELLER - PERSON 1'!$L$18:$AW$47,28,FALSE))</f>
        <v>190.28274635813051</v>
      </c>
      <c r="W102" s="223">
        <f>IF(ISERROR(VLOOKUP(M102,'DETAILED MODELLER - PERSON 1'!$L$18:$AW$47,1,FALSE)),"-",VLOOKUP(M102,'DETAILED MODELLER - PERSON 1'!$L$18:$AW$47,34,FALSE))</f>
        <v>1.4999999999999999E-2</v>
      </c>
      <c r="X102" s="223">
        <f>IF(ISERROR(VLOOKUP(M102,'DETAILED MODELLER - PERSON 1'!$L$18:$AW$47,1,FALSE)),"-",VLOOKUP(M102,'DETAILED MODELLER - PERSON 1'!$L$18:$AW$47,33,FALSE))</f>
        <v>0.75</v>
      </c>
      <c r="Y102" s="357">
        <f>IF(ISERROR(VLOOKUP(M102,'DETAILED MODELLER - PERSON 1'!$L$18:$AW$47,1,FALSE)),0,VLOOKUP(M102,'DETAILED MODELLER - PERSON 1'!$L$18:$AW$47,35,FALSE))</f>
        <v>276.9010611804581</v>
      </c>
    </row>
    <row r="103" spans="2:25" ht="19">
      <c r="B103" s="199">
        <f>'DETAILED MODELLER - PERSON 1'!C143</f>
        <v>2027</v>
      </c>
      <c r="C103" s="211">
        <f>'DETAILED MODELLER - PERSON 1'!D28</f>
        <v>72</v>
      </c>
      <c r="D103" s="196">
        <f>'DETAILED MODELLER - PERSON 1'!D143</f>
        <v>0.02</v>
      </c>
      <c r="E103" s="198">
        <f>'DETAILED MODELLER - PERSON 1'!M28</f>
        <v>0</v>
      </c>
      <c r="F103" s="165">
        <f>'DETAILED MODELLER - PERSON 1'!E143</f>
        <v>15412.887913919662</v>
      </c>
      <c r="G103" s="227">
        <f>'DETAILED MODELLER - PERSON 1'!F143</f>
        <v>19359.521926548456</v>
      </c>
      <c r="H103" s="443">
        <f>'DETAILED MODELLER - PERSON 1'!G143</f>
        <v>-3946.6340126287942</v>
      </c>
      <c r="I103" s="228">
        <f>'DETAILED MODELLER - PERSON 1'!H143</f>
        <v>11466.253901290867</v>
      </c>
      <c r="J103" s="446">
        <f>'DETAILED MODELLER - PERSON 1'!I143</f>
        <v>-24771.451166601724</v>
      </c>
      <c r="K103" s="396">
        <f t="shared" si="0"/>
        <v>0.74393935551399704</v>
      </c>
      <c r="M103" s="244">
        <f t="shared" si="1"/>
        <v>2031</v>
      </c>
      <c r="N103" s="257">
        <f>IF(ISERROR(VLOOKUP(M103,$B$93:$C$122,2,FALSE)),"BEYOND RANGE",VLOOKUP(M103,B103:C131,2,FALSE))</f>
        <v>76</v>
      </c>
      <c r="O103" s="223">
        <f>IF(ISERROR(VLOOKUP(M103,'DETAILED MODELLER - PERSON 1'!$L$18:$AW$47,2,FALSE)),"-",VLOOKUP(M103,'DETAILED MODELLER - PERSON 1'!$L$18:$AW$47,9,FALSE))</f>
        <v>0</v>
      </c>
      <c r="P103" s="356">
        <f>IF(ISERROR(VLOOKUP(M103,'DETAILED MODELLER - PERSON 1'!$L$18:$AW$47,2,FALSE)),0,VLOOKUP(M103,'DETAILED MODELLER - PERSON 1'!$L$18:$AW$47,10,FALSE))</f>
        <v>32.945102312483243</v>
      </c>
      <c r="Q103" s="223">
        <f>IF(ISERROR(VLOOKUP(M103,'DETAILED MODELLER - PERSON 1'!$L$18:$AW$47,1,FALSE)),"-",VLOOKUP(M103,'DETAILED MODELLER - PERSON 1'!$L$18:$AW$47,15,FALSE))</f>
        <v>0.02</v>
      </c>
      <c r="R103" s="294">
        <f>IF(ISERROR(VLOOKUP(M103,'DETAILED MODELLER - PERSON 1'!$L$18:$AW$47,1,FALSE)),0,VLOOKUP(M103,'DETAILED MODELLER - PERSON 1'!$L$18:$AW$47,16,FALSE))</f>
        <v>338.9129692694255</v>
      </c>
      <c r="S103" s="223">
        <f>IF(ISERROR(VLOOKUP(M103,'DETAILED MODELLER - PERSON 1'!$L$18:$AW$47,1,FALSE)),"-",VLOOKUP(M103,'DETAILED MODELLER - PERSON 1'!$L$18:$AW$47,21,FALSE))</f>
        <v>0.01</v>
      </c>
      <c r="T103" s="294">
        <f>IF(ISERROR(VLOOKUP(M103,'DETAILED MODELLER - PERSON 1'!$L$18:$AW$47,1,FALSE)),0,VLOOKUP(M103,'DETAILED MODELLER - PERSON 1'!$L$18:$AW$47,22,FALSE))</f>
        <v>187.36736590800371</v>
      </c>
      <c r="U103" s="223">
        <f>IF(ISERROR(VLOOKUP(M103,'DETAILED MODELLER - PERSON 1'!$L$18:$AW$47,1,FALSE)),"-",VLOOKUP(M103,'DETAILED MODELLER - PERSON 1'!$L$18:$AW$47,27,FALSE))</f>
        <v>0.01</v>
      </c>
      <c r="V103" s="294">
        <f>IF(ISERROR(VLOOKUP(M103,'DETAILED MODELLER - PERSON 1'!$L$18:$AW$47,1,FALSE)),0,VLOOKUP(M103,'DETAILED MODELLER - PERSON 1'!$L$18:$AW$47,28,FALSE))</f>
        <v>192.38587144945717</v>
      </c>
      <c r="W103" s="223">
        <f>IF(ISERROR(VLOOKUP(M103,'DETAILED MODELLER - PERSON 1'!$L$18:$AW$47,1,FALSE)),"-",VLOOKUP(M103,'DETAILED MODELLER - PERSON 1'!$L$18:$AW$47,34,FALSE))</f>
        <v>1.4999999999999999E-2</v>
      </c>
      <c r="X103" s="223">
        <f>IF(ISERROR(VLOOKUP(M103,'DETAILED MODELLER - PERSON 1'!$L$18:$AW$47,1,FALSE)),"-",VLOOKUP(M103,'DETAILED MODELLER - PERSON 1'!$L$18:$AW$47,33,FALSE))</f>
        <v>0.75</v>
      </c>
      <c r="Y103" s="357">
        <f>IF(ISERROR(VLOOKUP(M103,'DETAILED MODELLER - PERSON 1'!$L$18:$AW$47,1,FALSE)),0,VLOOKUP(M103,'DETAILED MODELLER - PERSON 1'!$L$18:$AW$47,35,FALSE))</f>
        <v>281.20031449878627</v>
      </c>
    </row>
    <row r="104" spans="2:25" ht="19">
      <c r="B104" s="199">
        <f>'DETAILED MODELLER - PERSON 1'!C144</f>
        <v>2028</v>
      </c>
      <c r="C104" s="211">
        <f>'DETAILED MODELLER - PERSON 1'!D29</f>
        <v>73</v>
      </c>
      <c r="D104" s="196">
        <f>'DETAILED MODELLER - PERSON 1'!D144</f>
        <v>0.02</v>
      </c>
      <c r="E104" s="198">
        <f>'DETAILED MODELLER - PERSON 1'!M29</f>
        <v>0</v>
      </c>
      <c r="F104" s="165">
        <f>'DETAILED MODELLER - PERSON 1'!E144</f>
        <v>15445.336099001597</v>
      </c>
      <c r="G104" s="227">
        <f>'DETAILED MODELLER - PERSON 1'!F144</f>
        <v>19746.712365079424</v>
      </c>
      <c r="H104" s="443">
        <f>'DETAILED MODELLER - PERSON 1'!G144</f>
        <v>-4301.3762660778266</v>
      </c>
      <c r="I104" s="228">
        <f>'DETAILED MODELLER - PERSON 1'!H144</f>
        <v>11143.959832923771</v>
      </c>
      <c r="J104" s="446">
        <f>'DETAILED MODELLER - PERSON 1'!I144</f>
        <v>-29072.827432679551</v>
      </c>
      <c r="K104" s="396">
        <f t="shared" si="0"/>
        <v>0.72150970114817559</v>
      </c>
      <c r="M104" s="244">
        <f t="shared" si="1"/>
        <v>2032</v>
      </c>
      <c r="N104" s="257">
        <f>IF(ISERROR(VLOOKUP(M104,$B$93:$C$122,2,FALSE)),"BEYOND RANGE",VLOOKUP(M104,B104:C131,2,FALSE))</f>
        <v>77</v>
      </c>
      <c r="O104" s="223">
        <f>IF(ISERROR(VLOOKUP(M104,'DETAILED MODELLER - PERSON 1'!$L$18:$AW$47,2,FALSE)),"-",VLOOKUP(M104,'DETAILED MODELLER - PERSON 1'!$L$18:$AW$47,9,FALSE))</f>
        <v>0</v>
      </c>
      <c r="P104" s="356">
        <f>IF(ISERROR(VLOOKUP(M104,'DETAILED MODELLER - PERSON 1'!$L$18:$AW$47,2,FALSE)),0,VLOOKUP(M104,'DETAILED MODELLER - PERSON 1'!$L$18:$AW$47,10,FALSE))</f>
        <v>33.014460422614796</v>
      </c>
      <c r="Q104" s="223">
        <f>IF(ISERROR(VLOOKUP(M104,'DETAILED MODELLER - PERSON 1'!$L$18:$AW$47,1,FALSE)),"-",VLOOKUP(M104,'DETAILED MODELLER - PERSON 1'!$L$18:$AW$47,15,FALSE))</f>
        <v>0</v>
      </c>
      <c r="R104" s="294">
        <f>IF(ISERROR(VLOOKUP(M104,'DETAILED MODELLER - PERSON 1'!$L$18:$AW$47,1,FALSE)),0,VLOOKUP(M104,'DETAILED MODELLER - PERSON 1'!$L$18:$AW$47,16,FALSE))</f>
        <v>36.388550384717263</v>
      </c>
      <c r="S104" s="223">
        <f>IF(ISERROR(VLOOKUP(M104,'DETAILED MODELLER - PERSON 1'!$L$18:$AW$47,1,FALSE)),"-",VLOOKUP(M104,'DETAILED MODELLER - PERSON 1'!$L$18:$AW$47,21,FALSE))</f>
        <v>0.01</v>
      </c>
      <c r="T104" s="294">
        <f>IF(ISERROR(VLOOKUP(M104,'DETAILED MODELLER - PERSON 1'!$L$18:$AW$47,1,FALSE)),0,VLOOKUP(M104,'DETAILED MODELLER - PERSON 1'!$L$18:$AW$47,22,FALSE))</f>
        <v>189.43826837330272</v>
      </c>
      <c r="U104" s="223">
        <f>IF(ISERROR(VLOOKUP(M104,'DETAILED MODELLER - PERSON 1'!$L$18:$AW$47,1,FALSE)),"-",VLOOKUP(M104,'DETAILED MODELLER - PERSON 1'!$L$18:$AW$47,27,FALSE))</f>
        <v>0.02</v>
      </c>
      <c r="V104" s="294">
        <f>IF(ISERROR(VLOOKUP(M104,'DETAILED MODELLER - PERSON 1'!$L$18:$AW$47,1,FALSE)),0,VLOOKUP(M104,'DETAILED MODELLER - PERSON 1'!$L$18:$AW$47,28,FALSE))</f>
        <v>351.97453243276885</v>
      </c>
      <c r="W104" s="223">
        <f>IF(ISERROR(VLOOKUP(M104,'DETAILED MODELLER - PERSON 1'!$L$18:$AW$47,1,FALSE)),"-",VLOOKUP(M104,'DETAILED MODELLER - PERSON 1'!$L$18:$AW$47,34,FALSE))</f>
        <v>0.01</v>
      </c>
      <c r="X104" s="223">
        <f>IF(ISERROR(VLOOKUP(M104,'DETAILED MODELLER - PERSON 1'!$L$18:$AW$47,1,FALSE)),"-",VLOOKUP(M104,'DETAILED MODELLER - PERSON 1'!$L$18:$AW$47,33,FALSE))</f>
        <v>0.5</v>
      </c>
      <c r="Y104" s="357">
        <f>IF(ISERROR(VLOOKUP(M104,'DETAILED MODELLER - PERSON 1'!$L$18:$AW$47,1,FALSE)),0,VLOOKUP(M104,'DETAILED MODELLER - PERSON 1'!$L$18:$AW$47,35,FALSE))</f>
        <v>203.28449854297182</v>
      </c>
    </row>
    <row r="105" spans="2:25" ht="19">
      <c r="B105" s="199">
        <f>'DETAILED MODELLER - PERSON 1'!C145</f>
        <v>2029</v>
      </c>
      <c r="C105" s="211">
        <f>'DETAILED MODELLER - PERSON 1'!D30</f>
        <v>74</v>
      </c>
      <c r="D105" s="196">
        <f>'DETAILED MODELLER - PERSON 1'!D145</f>
        <v>0.02</v>
      </c>
      <c r="E105" s="198">
        <f>'DETAILED MODELLER - PERSON 1'!M30</f>
        <v>0</v>
      </c>
      <c r="F105" s="165">
        <f>'DETAILED MODELLER - PERSON 1'!E145</f>
        <v>15477.852596052127</v>
      </c>
      <c r="G105" s="227">
        <f>'DETAILED MODELLER - PERSON 1'!F145</f>
        <v>20141.646612381013</v>
      </c>
      <c r="H105" s="443">
        <f>'DETAILED MODELLER - PERSON 1'!G145</f>
        <v>-4663.7940163288858</v>
      </c>
      <c r="I105" s="228">
        <f>'DETAILED MODELLER - PERSON 1'!H145</f>
        <v>10814.058579723242</v>
      </c>
      <c r="J105" s="446">
        <f>'DETAILED MODELLER - PERSON 1'!I145</f>
        <v>-33736.621449008439</v>
      </c>
      <c r="K105" s="396">
        <f t="shared" si="0"/>
        <v>0.69867951724010724</v>
      </c>
      <c r="M105" s="244">
        <f t="shared" si="1"/>
        <v>2033</v>
      </c>
      <c r="N105" s="257">
        <f>IF(ISERROR(VLOOKUP(M105,$B$93:$C$122,2,FALSE)),"BEYOND RANGE",VLOOKUP(M105,B105:C131,2,FALSE))</f>
        <v>78</v>
      </c>
      <c r="O105" s="223">
        <f>IF(ISERROR(VLOOKUP(M105,'DETAILED MODELLER - PERSON 1'!$L$18:$AW$47,2,FALSE)),"-",VLOOKUP(M105,'DETAILED MODELLER - PERSON 1'!$L$18:$AW$47,9,FALSE))</f>
        <v>0.01</v>
      </c>
      <c r="P105" s="356">
        <f>IF(ISERROR(VLOOKUP(M105,'DETAILED MODELLER - PERSON 1'!$L$18:$AW$47,2,FALSE)),0,VLOOKUP(M105,'DETAILED MODELLER - PERSON 1'!$L$18:$AW$47,10,FALSE))</f>
        <v>173.69081388655658</v>
      </c>
      <c r="Q105" s="223">
        <f>IF(ISERROR(VLOOKUP(M105,'DETAILED MODELLER - PERSON 1'!$L$18:$AW$47,1,FALSE)),"-",VLOOKUP(M105,'DETAILED MODELLER - PERSON 1'!$L$18:$AW$47,15,FALSE))</f>
        <v>0.02</v>
      </c>
      <c r="R105" s="294">
        <f>IF(ISERROR(VLOOKUP(M105,'DETAILED MODELLER - PERSON 1'!$L$18:$AW$47,1,FALSE)),0,VLOOKUP(M105,'DETAILED MODELLER - PERSON 1'!$L$18:$AW$47,16,FALSE))</f>
        <v>346.41899966250838</v>
      </c>
      <c r="S105" s="223">
        <f>IF(ISERROR(VLOOKUP(M105,'DETAILED MODELLER - PERSON 1'!$L$18:$AW$47,1,FALSE)),"-",VLOOKUP(M105,'DETAILED MODELLER - PERSON 1'!$L$18:$AW$47,21,FALSE))</f>
        <v>0.01</v>
      </c>
      <c r="T105" s="294">
        <f>IF(ISERROR(VLOOKUP(M105,'DETAILED MODELLER - PERSON 1'!$L$18:$AW$47,1,FALSE)),0,VLOOKUP(M105,'DETAILED MODELLER - PERSON 1'!$L$18:$AW$47,22,FALSE))</f>
        <v>191.53205976058658</v>
      </c>
      <c r="U105" s="223">
        <f>IF(ISERROR(VLOOKUP(M105,'DETAILED MODELLER - PERSON 1'!$L$18:$AW$47,1,FALSE)),"-",VLOOKUP(M105,'DETAILED MODELLER - PERSON 1'!$L$18:$AW$47,27,FALSE))</f>
        <v>0.01</v>
      </c>
      <c r="V105" s="294">
        <f>IF(ISERROR(VLOOKUP(M105,'DETAILED MODELLER - PERSON 1'!$L$18:$AW$47,1,FALSE)),0,VLOOKUP(M105,'DETAILED MODELLER - PERSON 1'!$L$18:$AW$47,28,FALSE))</f>
        <v>198.40248643973447</v>
      </c>
      <c r="W105" s="223">
        <f>IF(ISERROR(VLOOKUP(M105,'DETAILED MODELLER - PERSON 1'!$L$18:$AW$47,1,FALSE)),"-",VLOOKUP(M105,'DETAILED MODELLER - PERSON 1'!$L$18:$AW$47,34,FALSE))</f>
        <v>0.01</v>
      </c>
      <c r="X105" s="223">
        <f>IF(ISERROR(VLOOKUP(M105,'DETAILED MODELLER - PERSON 1'!$L$18:$AW$47,1,FALSE)),"-",VLOOKUP(M105,'DETAILED MODELLER - PERSON 1'!$L$18:$AW$47,33,FALSE))</f>
        <v>0.5</v>
      </c>
      <c r="Y105" s="357">
        <f>IF(ISERROR(VLOOKUP(M105,'DETAILED MODELLER - PERSON 1'!$L$18:$AW$47,1,FALSE)),0,VLOOKUP(M105,'DETAILED MODELLER - PERSON 1'!$L$18:$AW$47,35,FALSE))</f>
        <v>205.53132721107838</v>
      </c>
    </row>
    <row r="106" spans="2:25" ht="19">
      <c r="B106" s="199">
        <f>'DETAILED MODELLER - PERSON 1'!C146</f>
        <v>2030</v>
      </c>
      <c r="C106" s="211">
        <f>'DETAILED MODELLER - PERSON 1'!D31</f>
        <v>75</v>
      </c>
      <c r="D106" s="196">
        <f>'DETAILED MODELLER - PERSON 1'!D146</f>
        <v>0.02</v>
      </c>
      <c r="E106" s="198">
        <f>'DETAILED MODELLER - PERSON 1'!M31</f>
        <v>0</v>
      </c>
      <c r="F106" s="165">
        <f>'DETAILED MODELLER - PERSON 1'!E146</f>
        <v>15510.43754888592</v>
      </c>
      <c r="G106" s="227">
        <f>'DETAILED MODELLER - PERSON 1'!F146</f>
        <v>20544.479544628633</v>
      </c>
      <c r="H106" s="443">
        <f>'DETAILED MODELLER - PERSON 1'!G146</f>
        <v>-5034.041995742713</v>
      </c>
      <c r="I106" s="228">
        <f>'DETAILED MODELLER - PERSON 1'!H146</f>
        <v>10476.395553143208</v>
      </c>
      <c r="J106" s="446">
        <f>'DETAILED MODELLER - PERSON 1'!I146</f>
        <v>-38770.663444751153</v>
      </c>
      <c r="K106" s="396">
        <f t="shared" si="0"/>
        <v>0.67544165147653767</v>
      </c>
      <c r="M106" s="244">
        <f t="shared" si="1"/>
        <v>2034</v>
      </c>
      <c r="N106" s="257">
        <f>IF(ISERROR(VLOOKUP(M106,$B$93:$C$122,2,FALSE)),"BEYOND RANGE",VLOOKUP(M106,B106:C132,2,FALSE))</f>
        <v>79</v>
      </c>
      <c r="O106" s="223">
        <f>IF(ISERROR(VLOOKUP(M106,'DETAILED MODELLER - PERSON 1'!$L$18:$AW$47,2,FALSE)),"-",VLOOKUP(M106,'DETAILED MODELLER - PERSON 1'!$L$18:$AW$47,9,FALSE))</f>
        <v>0</v>
      </c>
      <c r="P106" s="356">
        <f>IF(ISERROR(VLOOKUP(M106,'DETAILED MODELLER - PERSON 1'!$L$18:$AW$47,2,FALSE)),0,VLOOKUP(M106,'DETAILED MODELLER - PERSON 1'!$L$18:$AW$47,10,FALSE))</f>
        <v>33.449629421160417</v>
      </c>
      <c r="Q106" s="223">
        <f>IF(ISERROR(VLOOKUP(M106,'DETAILED MODELLER - PERSON 1'!$L$18:$AW$47,1,FALSE)),"-",VLOOKUP(M106,'DETAILED MODELLER - PERSON 1'!$L$18:$AW$47,15,FALSE))</f>
        <v>0</v>
      </c>
      <c r="R106" s="294">
        <f>IF(ISERROR(VLOOKUP(M106,'DETAILED MODELLER - PERSON 1'!$L$18:$AW$47,1,FALSE)),0,VLOOKUP(M106,'DETAILED MODELLER - PERSON 1'!$L$18:$AW$47,16,FALSE))</f>
        <v>37.194461016395636</v>
      </c>
      <c r="S106" s="223">
        <f>IF(ISERROR(VLOOKUP(M106,'DETAILED MODELLER - PERSON 1'!$L$18:$AW$47,1,FALSE)),"-",VLOOKUP(M106,'DETAILED MODELLER - PERSON 1'!$L$18:$AW$47,21,FALSE))</f>
        <v>0.01</v>
      </c>
      <c r="T106" s="294">
        <f>IF(ISERROR(VLOOKUP(M106,'DETAILED MODELLER - PERSON 1'!$L$18:$AW$47,1,FALSE)),0,VLOOKUP(M106,'DETAILED MODELLER - PERSON 1'!$L$18:$AW$47,22,FALSE))</f>
        <v>193.64899305267724</v>
      </c>
      <c r="U106" s="223">
        <f>IF(ISERROR(VLOOKUP(M106,'DETAILED MODELLER - PERSON 1'!$L$18:$AW$47,1,FALSE)),"-",VLOOKUP(M106,'DETAILED MODELLER - PERSON 1'!$L$18:$AW$47,27,FALSE))</f>
        <v>0.01</v>
      </c>
      <c r="V106" s="294">
        <f>IF(ISERROR(VLOOKUP(M106,'DETAILED MODELLER - PERSON 1'!$L$18:$AW$47,1,FALSE)),0,VLOOKUP(M106,'DETAILED MODELLER - PERSON 1'!$L$18:$AW$47,28,FALSE))</f>
        <v>200.59535602669996</v>
      </c>
      <c r="W106" s="223">
        <f>IF(ISERROR(VLOOKUP(M106,'DETAILED MODELLER - PERSON 1'!$L$18:$AW$47,1,FALSE)),"-",VLOOKUP(M106,'DETAILED MODELLER - PERSON 1'!$L$18:$AW$47,34,FALSE))</f>
        <v>0.01</v>
      </c>
      <c r="X106" s="223">
        <f>IF(ISERROR(VLOOKUP(M106,'DETAILED MODELLER - PERSON 1'!$L$18:$AW$47,1,FALSE)),"-",VLOOKUP(M106,'DETAILED MODELLER - PERSON 1'!$L$18:$AW$47,33,FALSE))</f>
        <v>0.5</v>
      </c>
      <c r="Y106" s="357">
        <f>IF(ISERROR(VLOOKUP(M106,'DETAILED MODELLER - PERSON 1'!$L$18:$AW$47,1,FALSE)),0,VLOOKUP(M106,'DETAILED MODELLER - PERSON 1'!$L$18:$AW$47,35,FALSE))</f>
        <v>207.80298924867452</v>
      </c>
    </row>
    <row r="107" spans="2:25" ht="19">
      <c r="B107" s="199">
        <f>'DETAILED MODELLER - PERSON 1'!C147</f>
        <v>2031</v>
      </c>
      <c r="C107" s="211">
        <f>'DETAILED MODELLER - PERSON 1'!D32</f>
        <v>76</v>
      </c>
      <c r="D107" s="196">
        <f>'DETAILED MODELLER - PERSON 1'!D147</f>
        <v>0.02</v>
      </c>
      <c r="E107" s="198">
        <f>'DETAILED MODELLER - PERSON 1'!M32</f>
        <v>0</v>
      </c>
      <c r="F107" s="165">
        <f>'DETAILED MODELLER - PERSON 1'!E147</f>
        <v>15543.091101620417</v>
      </c>
      <c r="G107" s="227">
        <f>'DETAILED MODELLER - PERSON 1'!F147</f>
        <v>20955.369135521207</v>
      </c>
      <c r="H107" s="443">
        <f>'DETAILED MODELLER - PERSON 1'!G147</f>
        <v>-5412.2780339007895</v>
      </c>
      <c r="I107" s="228">
        <f>'DETAILED MODELLER - PERSON 1'!H147</f>
        <v>10130.813067719628</v>
      </c>
      <c r="J107" s="446">
        <f>'DETAILED MODELLER - PERSON 1'!I147</f>
        <v>-44182.941478651941</v>
      </c>
      <c r="K107" s="396">
        <f t="shared" si="0"/>
        <v>0.65178882382433301</v>
      </c>
      <c r="M107" s="244">
        <f t="shared" si="1"/>
        <v>2035</v>
      </c>
      <c r="N107" s="257">
        <f t="shared" ref="N107:N112" si="3">IF(ISERROR(VLOOKUP(M107,$B$93:$C$122,2,FALSE)),"BEYOND RANGE",VLOOKUP(M107,B107:C134,2,FALSE))</f>
        <v>80</v>
      </c>
      <c r="O107" s="223">
        <f>IF(ISERROR(VLOOKUP(M107,'DETAILED MODELLER - PERSON 1'!$L$18:$AW$47,2,FALSE)),"-",VLOOKUP(M107,'DETAILED MODELLER - PERSON 1'!$L$18:$AW$47,9,FALSE))</f>
        <v>0</v>
      </c>
      <c r="P107" s="356">
        <f>IF(ISERROR(VLOOKUP(M107,'DETAILED MODELLER - PERSON 1'!$L$18:$AW$47,2,FALSE)),0,VLOOKUP(M107,'DETAILED MODELLER - PERSON 1'!$L$18:$AW$47,10,FALSE))</f>
        <v>33.520049693626014</v>
      </c>
      <c r="Q107" s="223">
        <f>IF(ISERROR(VLOOKUP(M107,'DETAILED MODELLER - PERSON 1'!$L$18:$AW$47,1,FALSE)),"-",VLOOKUP(M107,'DETAILED MODELLER - PERSON 1'!$L$18:$AW$47,15,FALSE))</f>
        <v>0.02</v>
      </c>
      <c r="R107" s="294">
        <f>IF(ISERROR(VLOOKUP(M107,'DETAILED MODELLER - PERSON 1'!$L$18:$AW$47,1,FALSE)),0,VLOOKUP(M107,'DETAILED MODELLER - PERSON 1'!$L$18:$AW$47,16,FALSE))</f>
        <v>354.09126887608647</v>
      </c>
      <c r="S107" s="223">
        <f>IF(ISERROR(VLOOKUP(M107,'DETAILED MODELLER - PERSON 1'!$L$18:$AW$47,1,FALSE)),"-",VLOOKUP(M107,'DETAILED MODELLER - PERSON 1'!$L$18:$AW$47,21,FALSE))</f>
        <v>0.01</v>
      </c>
      <c r="T107" s="294">
        <f>IF(ISERROR(VLOOKUP(M107,'DETAILED MODELLER - PERSON 1'!$L$18:$AW$47,1,FALSE)),0,VLOOKUP(M107,'DETAILED MODELLER - PERSON 1'!$L$18:$AW$47,22,FALSE))</f>
        <v>195.78932402852263</v>
      </c>
      <c r="U107" s="223">
        <f>IF(ISERROR(VLOOKUP(M107,'DETAILED MODELLER - PERSON 1'!$L$18:$AW$47,1,FALSE)),"-",VLOOKUP(M107,'DETAILED MODELLER - PERSON 1'!$L$18:$AW$47,27,FALSE))</f>
        <v>0.02</v>
      </c>
      <c r="V107" s="294">
        <f>IF(ISERROR(VLOOKUP(M107,'DETAILED MODELLER - PERSON 1'!$L$18:$AW$47,1,FALSE)),0,VLOOKUP(M107,'DETAILED MODELLER - PERSON 1'!$L$18:$AW$47,28,FALSE))</f>
        <v>366.99397993075297</v>
      </c>
      <c r="W107" s="223">
        <f>IF(ISERROR(VLOOKUP(M107,'DETAILED MODELLER - PERSON 1'!$L$18:$AW$47,1,FALSE)),"-",VLOOKUP(M107,'DETAILED MODELLER - PERSON 1'!$L$18:$AW$47,34,FALSE))</f>
        <v>0.01</v>
      </c>
      <c r="X107" s="223">
        <f>IF(ISERROR(VLOOKUP(M107,'DETAILED MODELLER - PERSON 1'!$L$18:$AW$47,1,FALSE)),"-",VLOOKUP(M107,'DETAILED MODELLER - PERSON 1'!$L$18:$AW$47,33,FALSE))</f>
        <v>0.5</v>
      </c>
      <c r="Y107" s="357">
        <f>IF(ISERROR(VLOOKUP(M107,'DETAILED MODELLER - PERSON 1'!$L$18:$AW$47,1,FALSE)),0,VLOOKUP(M107,'DETAILED MODELLER - PERSON 1'!$L$18:$AW$47,35,FALSE))</f>
        <v>210.09975912984407</v>
      </c>
    </row>
    <row r="108" spans="2:25" ht="19">
      <c r="B108" s="199">
        <f>'DETAILED MODELLER - PERSON 1'!C148</f>
        <v>2032</v>
      </c>
      <c r="C108" s="211">
        <f>'DETAILED MODELLER - PERSON 1'!D33</f>
        <v>77</v>
      </c>
      <c r="D108" s="196">
        <f>'DETAILED MODELLER - PERSON 1'!D148</f>
        <v>0.02</v>
      </c>
      <c r="E108" s="198">
        <f>'DETAILED MODELLER - PERSON 1'!M33</f>
        <v>0</v>
      </c>
      <c r="F108" s="165">
        <f>'DETAILED MODELLER - PERSON 1'!E148</f>
        <v>15575.813398676461</v>
      </c>
      <c r="G108" s="227">
        <f>'DETAILED MODELLER - PERSON 1'!F148</f>
        <v>21374.47651823163</v>
      </c>
      <c r="H108" s="443">
        <f>'DETAILED MODELLER - PERSON 1'!G148</f>
        <v>-5798.663119555169</v>
      </c>
      <c r="I108" s="228">
        <f>'DETAILED MODELLER - PERSON 1'!H148</f>
        <v>9777.1502791212915</v>
      </c>
      <c r="J108" s="446">
        <f>'DETAILED MODELLER - PERSON 1'!I148</f>
        <v>-49981.604598207108</v>
      </c>
      <c r="K108" s="396">
        <f t="shared" si="0"/>
        <v>0.62771362424976762</v>
      </c>
      <c r="M108" s="244">
        <f t="shared" si="1"/>
        <v>2036</v>
      </c>
      <c r="N108" s="257">
        <f t="shared" si="3"/>
        <v>81</v>
      </c>
      <c r="O108" s="223">
        <f>IF(ISERROR(VLOOKUP(M108,'DETAILED MODELLER - PERSON 1'!$L$18:$AW$47,2,FALSE)),"-",VLOOKUP(M108,'DETAILED MODELLER - PERSON 1'!$L$18:$AW$47,9,FALSE))</f>
        <v>0</v>
      </c>
      <c r="P108" s="356">
        <f>IF(ISERROR(VLOOKUP(M108,'DETAILED MODELLER - PERSON 1'!$L$18:$AW$47,2,FALSE)),0,VLOOKUP(M108,'DETAILED MODELLER - PERSON 1'!$L$18:$AW$47,10,FALSE))</f>
        <v>33.590618219296815</v>
      </c>
      <c r="Q108" s="223">
        <f>IF(ISERROR(VLOOKUP(M108,'DETAILED MODELLER - PERSON 1'!$L$18:$AW$47,1,FALSE)),"-",VLOOKUP(M108,'DETAILED MODELLER - PERSON 1'!$L$18:$AW$47,15,FALSE))</f>
        <v>0</v>
      </c>
      <c r="R108" s="294">
        <f>IF(ISERROR(VLOOKUP(M108,'DETAILED MODELLER - PERSON 1'!$L$18:$AW$47,1,FALSE)),0,VLOOKUP(M108,'DETAILED MODELLER - PERSON 1'!$L$18:$AW$47,16,FALSE))</f>
        <v>38.018220447748234</v>
      </c>
      <c r="S108" s="223">
        <f>IF(ISERROR(VLOOKUP(M108,'DETAILED MODELLER - PERSON 1'!$L$18:$AW$47,1,FALSE)),"-",VLOOKUP(M108,'DETAILED MODELLER - PERSON 1'!$L$18:$AW$47,21,FALSE))</f>
        <v>0.01</v>
      </c>
      <c r="T108" s="294">
        <f>IF(ISERROR(VLOOKUP(M108,'DETAILED MODELLER - PERSON 1'!$L$18:$AW$47,1,FALSE)),0,VLOOKUP(M108,'DETAILED MODELLER - PERSON 1'!$L$18:$AW$47,22,FALSE))</f>
        <v>197.95331129410107</v>
      </c>
      <c r="U108" s="223">
        <f>IF(ISERROR(VLOOKUP(M108,'DETAILED MODELLER - PERSON 1'!$L$18:$AW$47,1,FALSE)),"-",VLOOKUP(M108,'DETAILED MODELLER - PERSON 1'!$L$18:$AW$47,27,FALSE))</f>
        <v>0.01</v>
      </c>
      <c r="V108" s="294">
        <f>IF(ISERROR(VLOOKUP(M108,'DETAILED MODELLER - PERSON 1'!$L$18:$AW$47,1,FALSE)),0,VLOOKUP(M108,'DETAILED MODELLER - PERSON 1'!$L$18:$AW$47,28,FALSE))</f>
        <v>206.86871184517707</v>
      </c>
      <c r="W108" s="223">
        <f>IF(ISERROR(VLOOKUP(M108,'DETAILED MODELLER - PERSON 1'!$L$18:$AW$47,1,FALSE)),"-",VLOOKUP(M108,'DETAILED MODELLER - PERSON 1'!$L$18:$AW$47,34,FALSE))</f>
        <v>0.01</v>
      </c>
      <c r="X108" s="223">
        <f>IF(ISERROR(VLOOKUP(M108,'DETAILED MODELLER - PERSON 1'!$L$18:$AW$47,1,FALSE)),"-",VLOOKUP(M108,'DETAILED MODELLER - PERSON 1'!$L$18:$AW$47,33,FALSE))</f>
        <v>0.5</v>
      </c>
      <c r="Y108" s="357">
        <f>IF(ISERROR(VLOOKUP(M108,'DETAILED MODELLER - PERSON 1'!$L$18:$AW$47,1,FALSE)),0,VLOOKUP(M108,'DETAILED MODELLER - PERSON 1'!$L$18:$AW$47,35,FALSE))</f>
        <v>212.42191436233179</v>
      </c>
    </row>
    <row r="109" spans="2:25" ht="19">
      <c r="B109" s="199">
        <f>'DETAILED MODELLER - PERSON 1'!C149</f>
        <v>2033</v>
      </c>
      <c r="C109" s="211">
        <f>'DETAILED MODELLER - PERSON 1'!D34</f>
        <v>78</v>
      </c>
      <c r="D109" s="196">
        <f>'DETAILED MODELLER - PERSON 1'!D149</f>
        <v>0.02</v>
      </c>
      <c r="E109" s="198">
        <f>'DETAILED MODELLER - PERSON 1'!M34</f>
        <v>0</v>
      </c>
      <c r="F109" s="165">
        <f>'DETAILED MODELLER - PERSON 1'!E149</f>
        <v>15608.604584778937</v>
      </c>
      <c r="G109" s="227">
        <f>'DETAILED MODELLER - PERSON 1'!F149</f>
        <v>21801.966048596263</v>
      </c>
      <c r="H109" s="443">
        <f>'DETAILED MODELLER - PERSON 1'!G149</f>
        <v>-6193.3614638173258</v>
      </c>
      <c r="I109" s="228">
        <f>'DETAILED MODELLER - PERSON 1'!H149</f>
        <v>9415.2431209616116</v>
      </c>
      <c r="J109" s="446">
        <f>'DETAILED MODELLER - PERSON 1'!I149</f>
        <v>-56174.966062024432</v>
      </c>
      <c r="K109" s="396">
        <f t="shared" si="0"/>
        <v>0.60320851039708479</v>
      </c>
      <c r="M109" s="244">
        <f t="shared" si="1"/>
        <v>2037</v>
      </c>
      <c r="N109" s="257">
        <f t="shared" si="3"/>
        <v>82</v>
      </c>
      <c r="O109" s="223">
        <f>IF(ISERROR(VLOOKUP(M109,'DETAILED MODELLER - PERSON 1'!$L$18:$AW$47,2,FALSE)),"-",VLOOKUP(M109,'DETAILED MODELLER - PERSON 1'!$L$18:$AW$47,9,FALSE))</f>
        <v>0</v>
      </c>
      <c r="P109" s="356">
        <f>IF(ISERROR(VLOOKUP(M109,'DETAILED MODELLER - PERSON 1'!$L$18:$AW$47,2,FALSE)),0,VLOOKUP(M109,'DETAILED MODELLER - PERSON 1'!$L$18:$AW$47,10,FALSE))</f>
        <v>33.661335310284805</v>
      </c>
      <c r="Q109" s="223">
        <f>IF(ISERROR(VLOOKUP(M109,'DETAILED MODELLER - PERSON 1'!$L$18:$AW$47,1,FALSE)),"-",VLOOKUP(M109,'DETAILED MODELLER - PERSON 1'!$L$18:$AW$47,15,FALSE))</f>
        <v>0.02</v>
      </c>
      <c r="R109" s="294">
        <f>IF(ISERROR(VLOOKUP(M109,'DETAILED MODELLER - PERSON 1'!$L$18:$AW$47,1,FALSE)),0,VLOOKUP(M109,'DETAILED MODELLER - PERSON 1'!$L$18:$AW$47,16,FALSE))</f>
        <v>361.93345866256323</v>
      </c>
      <c r="S109" s="223">
        <f>IF(ISERROR(VLOOKUP(M109,'DETAILED MODELLER - PERSON 1'!$L$18:$AW$47,1,FALSE)),"-",VLOOKUP(M109,'DETAILED MODELLER - PERSON 1'!$L$18:$AW$47,21,FALSE))</f>
        <v>0.01</v>
      </c>
      <c r="T109" s="294">
        <f>IF(ISERROR(VLOOKUP(M109,'DETAILED MODELLER - PERSON 1'!$L$18:$AW$47,1,FALSE)),0,VLOOKUP(M109,'DETAILED MODELLER - PERSON 1'!$L$18:$AW$47,22,FALSE))</f>
        <v>200.14121631366746</v>
      </c>
      <c r="U109" s="223">
        <f>IF(ISERROR(VLOOKUP(M109,'DETAILED MODELLER - PERSON 1'!$L$18:$AW$47,1,FALSE)),"-",VLOOKUP(M109,'DETAILED MODELLER - PERSON 1'!$L$18:$AW$47,27,FALSE))</f>
        <v>0.01</v>
      </c>
      <c r="V109" s="294">
        <f>IF(ISERROR(VLOOKUP(M109,'DETAILED MODELLER - PERSON 1'!$L$18:$AW$47,1,FALSE)),0,VLOOKUP(M109,'DETAILED MODELLER - PERSON 1'!$L$18:$AW$47,28,FALSE))</f>
        <v>209.15515550241327</v>
      </c>
      <c r="W109" s="223">
        <f>IF(ISERROR(VLOOKUP(M109,'DETAILED MODELLER - PERSON 1'!$L$18:$AW$47,1,FALSE)),"-",VLOOKUP(M109,'DETAILED MODELLER - PERSON 1'!$L$18:$AW$47,34,FALSE))</f>
        <v>0.01</v>
      </c>
      <c r="X109" s="223">
        <f>IF(ISERROR(VLOOKUP(M109,'DETAILED MODELLER - PERSON 1'!$L$18:$AW$47,1,FALSE)),"-",VLOOKUP(M109,'DETAILED MODELLER - PERSON 1'!$L$18:$AW$47,33,FALSE))</f>
        <v>0.5</v>
      </c>
      <c r="Y109" s="357">
        <f>IF(ISERROR(VLOOKUP(M109,'DETAILED MODELLER - PERSON 1'!$L$18:$AW$47,1,FALSE)),0,VLOOKUP(M109,'DETAILED MODELLER - PERSON 1'!$L$18:$AW$47,35,FALSE))</f>
        <v>214.76973552107336</v>
      </c>
    </row>
    <row r="110" spans="2:25" ht="19">
      <c r="B110" s="199">
        <f>'DETAILED MODELLER - PERSON 1'!C150</f>
        <v>2034</v>
      </c>
      <c r="C110" s="211">
        <f>'DETAILED MODELLER - PERSON 1'!D35</f>
        <v>79</v>
      </c>
      <c r="D110" s="196">
        <f>'DETAILED MODELLER - PERSON 1'!D150</f>
        <v>0.02</v>
      </c>
      <c r="E110" s="198">
        <f>'DETAILED MODELLER - PERSON 1'!M35</f>
        <v>0</v>
      </c>
      <c r="F110" s="165">
        <f>'DETAILED MODELLER - PERSON 1'!E150</f>
        <v>15641.464804957419</v>
      </c>
      <c r="G110" s="227">
        <f>'DETAILED MODELLER - PERSON 1'!F150</f>
        <v>22238.005369568189</v>
      </c>
      <c r="H110" s="443">
        <f>'DETAILED MODELLER - PERSON 1'!G150</f>
        <v>-6596.5405646107702</v>
      </c>
      <c r="I110" s="228">
        <f>'DETAILED MODELLER - PERSON 1'!H150</f>
        <v>9044.9242403466487</v>
      </c>
      <c r="J110" s="446">
        <f>'DETAILED MODELLER - PERSON 1'!I150</f>
        <v>-62771.506626635201</v>
      </c>
      <c r="K110" s="396">
        <f t="shared" si="0"/>
        <v>0.57826580522560411</v>
      </c>
      <c r="M110" s="244">
        <f t="shared" si="1"/>
        <v>2038</v>
      </c>
      <c r="N110" s="257">
        <f t="shared" si="3"/>
        <v>83</v>
      </c>
      <c r="O110" s="223">
        <f>IF(ISERROR(VLOOKUP(M110,'DETAILED MODELLER - PERSON 1'!$L$18:$AW$47,2,FALSE)),"-",VLOOKUP(M110,'DETAILED MODELLER - PERSON 1'!$L$18:$AW$47,9,FALSE))</f>
        <v>0</v>
      </c>
      <c r="P110" s="356">
        <f>IF(ISERROR(VLOOKUP(M110,'DETAILED MODELLER - PERSON 1'!$L$18:$AW$47,2,FALSE)),0,VLOOKUP(M110,'DETAILED MODELLER - PERSON 1'!$L$18:$AW$47,10,FALSE))</f>
        <v>33.732201279359089</v>
      </c>
      <c r="Q110" s="223">
        <f>IF(ISERROR(VLOOKUP(M110,'DETAILED MODELLER - PERSON 1'!$L$18:$AW$47,1,FALSE)),"-",VLOOKUP(M110,'DETAILED MODELLER - PERSON 1'!$L$18:$AW$47,15,FALSE))</f>
        <v>0</v>
      </c>
      <c r="R110" s="294">
        <f>IF(ISERROR(VLOOKUP(M110,'DETAILED MODELLER - PERSON 1'!$L$18:$AW$47,1,FALSE)),0,VLOOKUP(M110,'DETAILED MODELLER - PERSON 1'!$L$18:$AW$47,16,FALSE))</f>
        <v>38.860223982717315</v>
      </c>
      <c r="S110" s="223">
        <f>IF(ISERROR(VLOOKUP(M110,'DETAILED MODELLER - PERSON 1'!$L$18:$AW$47,1,FALSE)),"-",VLOOKUP(M110,'DETAILED MODELLER - PERSON 1'!$L$18:$AW$47,21,FALSE))</f>
        <v>0.01</v>
      </c>
      <c r="T110" s="294">
        <f>IF(ISERROR(VLOOKUP(M110,'DETAILED MODELLER - PERSON 1'!$L$18:$AW$47,1,FALSE)),0,VLOOKUP(M110,'DETAILED MODELLER - PERSON 1'!$L$18:$AW$47,22,FALSE))</f>
        <v>202.35330344134482</v>
      </c>
      <c r="U110" s="223">
        <f>IF(ISERROR(VLOOKUP(M110,'DETAILED MODELLER - PERSON 1'!$L$18:$AW$47,1,FALSE)),"-",VLOOKUP(M110,'DETAILED MODELLER - PERSON 1'!$L$18:$AW$47,27,FALSE))</f>
        <v>0.02</v>
      </c>
      <c r="V110" s="294">
        <f>IF(ISERROR(VLOOKUP(M110,'DETAILED MODELLER - PERSON 1'!$L$18:$AW$47,1,FALSE)),0,VLOOKUP(M110,'DETAILED MODELLER - PERSON 1'!$L$18:$AW$47,28,FALSE))</f>
        <v>382.65433687631986</v>
      </c>
      <c r="W110" s="223">
        <f>IF(ISERROR(VLOOKUP(M110,'DETAILED MODELLER - PERSON 1'!$L$18:$AW$47,1,FALSE)),"-",VLOOKUP(M110,'DETAILED MODELLER - PERSON 1'!$L$18:$AW$47,34,FALSE))</f>
        <v>0.01</v>
      </c>
      <c r="X110" s="223">
        <f>IF(ISERROR(VLOOKUP(M110,'DETAILED MODELLER - PERSON 1'!$L$18:$AW$47,1,FALSE)),"-",VLOOKUP(M110,'DETAILED MODELLER - PERSON 1'!$L$18:$AW$47,33,FALSE))</f>
        <v>0.5</v>
      </c>
      <c r="Y110" s="357">
        <f>IF(ISERROR(VLOOKUP(M110,'DETAILED MODELLER - PERSON 1'!$L$18:$AW$47,1,FALSE)),0,VLOOKUP(M110,'DETAILED MODELLER - PERSON 1'!$L$18:$AW$47,35,FALSE))</f>
        <v>217.14350628209576</v>
      </c>
    </row>
    <row r="111" spans="2:25" ht="19">
      <c r="B111" s="199">
        <f>'DETAILED MODELLER - PERSON 1'!C151</f>
        <v>2035</v>
      </c>
      <c r="C111" s="211">
        <f>'DETAILED MODELLER - PERSON 1'!D36</f>
        <v>80</v>
      </c>
      <c r="D111" s="196">
        <f>'DETAILED MODELLER - PERSON 1'!D151</f>
        <v>0.02</v>
      </c>
      <c r="E111" s="198">
        <f>'DETAILED MODELLER - PERSON 1'!M36</f>
        <v>0</v>
      </c>
      <c r="F111" s="165">
        <f>'DETAILED MODELLER - PERSON 1'!E151</f>
        <v>15674.394204546803</v>
      </c>
      <c r="G111" s="227">
        <f>'DETAILED MODELLER - PERSON 1'!F151</f>
        <v>22682.765476959554</v>
      </c>
      <c r="H111" s="443">
        <f>'DETAILED MODELLER - PERSON 1'!G151</f>
        <v>-7008.3712724127508</v>
      </c>
      <c r="I111" s="228">
        <f>'DETAILED MODELLER - PERSON 1'!H151</f>
        <v>8666.0229321340521</v>
      </c>
      <c r="J111" s="446">
        <f>'DETAILED MODELLER - PERSON 1'!I151</f>
        <v>-69779.877899047948</v>
      </c>
      <c r="K111" s="396">
        <f t="shared" si="0"/>
        <v>0.55287769460463265</v>
      </c>
      <c r="M111" s="244">
        <f t="shared" si="1"/>
        <v>2039</v>
      </c>
      <c r="N111" s="257">
        <f t="shared" si="3"/>
        <v>84</v>
      </c>
      <c r="O111" s="223">
        <f>IF(ISERROR(VLOOKUP(M111,'DETAILED MODELLER - PERSON 1'!$L$18:$AW$47,2,FALSE)),"-",VLOOKUP(M111,'DETAILED MODELLER - PERSON 1'!$L$18:$AW$47,9,FALSE))</f>
        <v>0</v>
      </c>
      <c r="P111" s="356">
        <f>IF(ISERROR(VLOOKUP(M111,'DETAILED MODELLER - PERSON 1'!$L$18:$AW$47,2,FALSE)),0,VLOOKUP(M111,'DETAILED MODELLER - PERSON 1'!$L$18:$AW$47,10,FALSE))</f>
        <v>33.803216439947207</v>
      </c>
      <c r="Q111" s="223">
        <f>IF(ISERROR(VLOOKUP(M111,'DETAILED MODELLER - PERSON 1'!$L$18:$AW$47,1,FALSE)),"-",VLOOKUP(M111,'DETAILED MODELLER - PERSON 1'!$L$18:$AW$47,15,FALSE))</f>
        <v>0.02</v>
      </c>
      <c r="R111" s="294">
        <f>IF(ISERROR(VLOOKUP(M111,'DETAILED MODELLER - PERSON 1'!$L$18:$AW$47,1,FALSE)),0,VLOOKUP(M111,'DETAILED MODELLER - PERSON 1'!$L$18:$AW$47,16,FALSE))</f>
        <v>369.94933231546884</v>
      </c>
      <c r="S111" s="223">
        <f>IF(ISERROR(VLOOKUP(M111,'DETAILED MODELLER - PERSON 1'!$L$18:$AW$47,1,FALSE)),"-",VLOOKUP(M111,'DETAILED MODELLER - PERSON 1'!$L$18:$AW$47,21,FALSE))</f>
        <v>0.01</v>
      </c>
      <c r="T111" s="294">
        <f>IF(ISERROR(VLOOKUP(M111,'DETAILED MODELLER - PERSON 1'!$L$18:$AW$47,1,FALSE)),0,VLOOKUP(M111,'DETAILED MODELLER - PERSON 1'!$L$18:$AW$47,22,FALSE))</f>
        <v>204.58983995306494</v>
      </c>
      <c r="U111" s="223">
        <f>IF(ISERROR(VLOOKUP(M111,'DETAILED MODELLER - PERSON 1'!$L$18:$AW$47,1,FALSE)),"-",VLOOKUP(M111,'DETAILED MODELLER - PERSON 1'!$L$18:$AW$47,27,FALSE))</f>
        <v>0.01</v>
      </c>
      <c r="V111" s="294">
        <f>IF(ISERROR(VLOOKUP(M111,'DETAILED MODELLER - PERSON 1'!$L$18:$AW$47,1,FALSE)),0,VLOOKUP(M111,'DETAILED MODELLER - PERSON 1'!$L$18:$AW$47,28,FALSE))</f>
        <v>215.69620778659925</v>
      </c>
      <c r="W111" s="223">
        <f>IF(ISERROR(VLOOKUP(M111,'DETAILED MODELLER - PERSON 1'!$L$18:$AW$47,1,FALSE)),"-",VLOOKUP(M111,'DETAILED MODELLER - PERSON 1'!$L$18:$AW$47,34,FALSE))</f>
        <v>0.01</v>
      </c>
      <c r="X111" s="223">
        <f>IF(ISERROR(VLOOKUP(M111,'DETAILED MODELLER - PERSON 1'!$L$18:$AW$47,1,FALSE)),"-",VLOOKUP(M111,'DETAILED MODELLER - PERSON 1'!$L$18:$AW$47,33,FALSE))</f>
        <v>0.5</v>
      </c>
      <c r="Y111" s="357">
        <f>IF(ISERROR(VLOOKUP(M111,'DETAILED MODELLER - PERSON 1'!$L$18:$AW$47,1,FALSE)),0,VLOOKUP(M111,'DETAILED MODELLER - PERSON 1'!$L$18:$AW$47,35,FALSE))</f>
        <v>219.5435134567926</v>
      </c>
    </row>
    <row r="112" spans="2:25" ht="19">
      <c r="B112" s="199">
        <f>'DETAILED MODELLER - PERSON 1'!C152</f>
        <v>2036</v>
      </c>
      <c r="C112" s="211">
        <f>'DETAILED MODELLER - PERSON 1'!D37</f>
        <v>81</v>
      </c>
      <c r="D112" s="196">
        <f>'DETAILED MODELLER - PERSON 1'!D152</f>
        <v>0.02</v>
      </c>
      <c r="E112" s="198">
        <f>'DETAILED MODELLER - PERSON 1'!M37</f>
        <v>0</v>
      </c>
      <c r="F112" s="165">
        <f>'DETAILED MODELLER - PERSON 1'!E152</f>
        <v>15707.392929187954</v>
      </c>
      <c r="G112" s="227">
        <f>'DETAILED MODELLER - PERSON 1'!F152</f>
        <v>23136.420786498744</v>
      </c>
      <c r="H112" s="443">
        <f>'DETAILED MODELLER - PERSON 1'!G152</f>
        <v>-7429.0278573107898</v>
      </c>
      <c r="I112" s="228">
        <f>'DETAILED MODELLER - PERSON 1'!H152</f>
        <v>8278.3650718771642</v>
      </c>
      <c r="J112" s="446">
        <f>'DETAILED MODELLER - PERSON 1'!I152</f>
        <v>-77208.905756358741</v>
      </c>
      <c r="K112" s="396">
        <f t="shared" si="0"/>
        <v>0.52703622486542978</v>
      </c>
      <c r="M112" s="244">
        <f t="shared" si="1"/>
        <v>2040</v>
      </c>
      <c r="N112" s="257">
        <f t="shared" si="3"/>
        <v>85</v>
      </c>
      <c r="O112" s="223">
        <f>IF(ISERROR(VLOOKUP(M112,'DETAILED MODELLER - PERSON 1'!$L$18:$AW$47,2,FALSE)),"-",VLOOKUP(M112,'DETAILED MODELLER - PERSON 1'!$L$18:$AW$47,9,FALSE))</f>
        <v>0</v>
      </c>
      <c r="P112" s="356">
        <f>IF(ISERROR(VLOOKUP(M112,'DETAILED MODELLER - PERSON 1'!$L$18:$AW$47,2,FALSE)),0,VLOOKUP(M112,'DETAILED MODELLER - PERSON 1'!$L$18:$AW$47,10,FALSE))</f>
        <v>33.874381106136568</v>
      </c>
      <c r="Q112" s="223">
        <f>IF(ISERROR(VLOOKUP(M112,'DETAILED MODELLER - PERSON 1'!$L$18:$AW$47,1,FALSE)),"-",VLOOKUP(M112,'DETAILED MODELLER - PERSON 1'!$L$18:$AW$47,15,FALSE))</f>
        <v>0</v>
      </c>
      <c r="R112" s="294">
        <f>IF(ISERROR(VLOOKUP(M112,'DETAILED MODELLER - PERSON 1'!$L$18:$AW$47,1,FALSE)),0,VLOOKUP(M112,'DETAILED MODELLER - PERSON 1'!$L$18:$AW$47,16,FALSE))</f>
        <v>39.72087568018717</v>
      </c>
      <c r="S112" s="223">
        <f>IF(ISERROR(VLOOKUP(M112,'DETAILED MODELLER - PERSON 1'!$L$18:$AW$47,1,FALSE)),"-",VLOOKUP(M112,'DETAILED MODELLER - PERSON 1'!$L$18:$AW$47,21,FALSE))</f>
        <v>0.01</v>
      </c>
      <c r="T112" s="294">
        <f>IF(ISERROR(VLOOKUP(M112,'DETAILED MODELLER - PERSON 1'!$L$18:$AW$47,1,FALSE)),0,VLOOKUP(M112,'DETAILED MODELLER - PERSON 1'!$L$18:$AW$47,22,FALSE))</f>
        <v>206.85109607886196</v>
      </c>
      <c r="U112" s="223">
        <f>IF(ISERROR(VLOOKUP(M112,'DETAILED MODELLER - PERSON 1'!$L$18:$AW$47,1,FALSE)),"-",VLOOKUP(M112,'DETAILED MODELLER - PERSON 1'!$L$18:$AW$47,27,FALSE))</f>
        <v>0.01</v>
      </c>
      <c r="V112" s="294">
        <f>IF(ISERROR(VLOOKUP(M112,'DETAILED MODELLER - PERSON 1'!$L$18:$AW$47,1,FALSE)),0,VLOOKUP(M112,'DETAILED MODELLER - PERSON 1'!$L$18:$AW$47,28,FALSE))</f>
        <v>218.08021850424063</v>
      </c>
      <c r="W112" s="223">
        <f>IF(ISERROR(VLOOKUP(M112,'DETAILED MODELLER - PERSON 1'!$L$18:$AW$47,1,FALSE)),"-",VLOOKUP(M112,'DETAILED MODELLER - PERSON 1'!$L$18:$AW$47,34,FALSE))</f>
        <v>0.01</v>
      </c>
      <c r="X112" s="223">
        <f>IF(ISERROR(VLOOKUP(M112,'DETAILED MODELLER - PERSON 1'!$L$18:$AW$47,1,FALSE)),"-",VLOOKUP(M112,'DETAILED MODELLER - PERSON 1'!$L$18:$AW$47,33,FALSE))</f>
        <v>0.5</v>
      </c>
      <c r="Y112" s="357">
        <f>IF(ISERROR(VLOOKUP(M112,'DETAILED MODELLER - PERSON 1'!$L$18:$AW$47,1,FALSE)),0,VLOOKUP(M112,'DETAILED MODELLER - PERSON 1'!$L$18:$AW$47,35,FALSE))</f>
        <v>221.97004702657819</v>
      </c>
    </row>
    <row r="113" spans="2:25" ht="19">
      <c r="B113" s="199">
        <f>'DETAILED MODELLER - PERSON 1'!C153</f>
        <v>2037</v>
      </c>
      <c r="C113" s="211">
        <f>'DETAILED MODELLER - PERSON 1'!D38</f>
        <v>82</v>
      </c>
      <c r="D113" s="196">
        <f>'DETAILED MODELLER - PERSON 1'!D153</f>
        <v>0.02</v>
      </c>
      <c r="E113" s="198">
        <f>'DETAILED MODELLER - PERSON 1'!M38</f>
        <v>0</v>
      </c>
      <c r="F113" s="165">
        <f>'DETAILED MODELLER - PERSON 1'!E153</f>
        <v>15740.461124828349</v>
      </c>
      <c r="G113" s="227">
        <f>'DETAILED MODELLER - PERSON 1'!F153</f>
        <v>23599.14920222872</v>
      </c>
      <c r="H113" s="443">
        <f>'DETAILED MODELLER - PERSON 1'!G153</f>
        <v>-7858.6880774003712</v>
      </c>
      <c r="I113" s="228">
        <f>'DETAILED MODELLER - PERSON 1'!H153</f>
        <v>7881.7730474279779</v>
      </c>
      <c r="J113" s="446">
        <f>'DETAILED MODELLER - PERSON 1'!I153</f>
        <v>-85067.593833759107</v>
      </c>
      <c r="K113" s="396">
        <f t="shared" si="0"/>
        <v>0.50073330030945518</v>
      </c>
      <c r="M113" s="244">
        <f t="shared" si="1"/>
        <v>2041</v>
      </c>
      <c r="N113" s="257">
        <f>IF(ISERROR(VLOOKUP(M113,$B$93:$C$122,2,FALSE)),"BEYOND RANGE",VLOOKUP(M113,B113:C142,2,FALSE))</f>
        <v>86</v>
      </c>
      <c r="O113" s="223">
        <f>IF(ISERROR(VLOOKUP(M113,'DETAILED MODELLER - PERSON 1'!$L$18:$AW$47,2,FALSE)),"-",VLOOKUP(M113,'DETAILED MODELLER - PERSON 1'!$L$18:$AW$47,9,FALSE))</f>
        <v>0</v>
      </c>
      <c r="P113" s="356">
        <f>IF(ISERROR(VLOOKUP(M113,'DETAILED MODELLER - PERSON 1'!$L$18:$AW$47,2,FALSE)),0,VLOOKUP(M113,'DETAILED MODELLER - PERSON 1'!$L$18:$AW$47,10,FALSE))</f>
        <v>33.945695592675804</v>
      </c>
      <c r="Q113" s="223">
        <f>IF(ISERROR(VLOOKUP(M113,'DETAILED MODELLER - PERSON 1'!$L$18:$AW$47,1,FALSE)),"-",VLOOKUP(M113,'DETAILED MODELLER - PERSON 1'!$L$18:$AW$47,15,FALSE))</f>
        <v>0.02</v>
      </c>
      <c r="R113" s="294">
        <f>IF(ISERROR(VLOOKUP(M113,'DETAILED MODELLER - PERSON 1'!$L$18:$AW$47,1,FALSE)),0,VLOOKUP(M113,'DETAILED MODELLER - PERSON 1'!$L$18:$AW$47,16,FALSE))</f>
        <v>378.14273647538187</v>
      </c>
      <c r="S113" s="223">
        <f>IF(ISERROR(VLOOKUP(M113,'DETAILED MODELLER - PERSON 1'!$L$18:$AW$47,1,FALSE)),"-",VLOOKUP(M113,'DETAILED MODELLER - PERSON 1'!$L$18:$AW$47,21,FALSE))</f>
        <v>0.01</v>
      </c>
      <c r="T113" s="294">
        <f>IF(ISERROR(VLOOKUP(M113,'DETAILED MODELLER - PERSON 1'!$L$18:$AW$47,1,FALSE)),0,VLOOKUP(M113,'DETAILED MODELLER - PERSON 1'!$L$18:$AW$47,22,FALSE))</f>
        <v>209.13734503552308</v>
      </c>
      <c r="U113" s="223">
        <f>IF(ISERROR(VLOOKUP(M113,'DETAILED MODELLER - PERSON 1'!$L$18:$AW$47,1,FALSE)),"-",VLOOKUP(M113,'DETAILED MODELLER - PERSON 1'!$L$18:$AW$47,27,FALSE))</f>
        <v>0.02</v>
      </c>
      <c r="V113" s="294">
        <f>IF(ISERROR(VLOOKUP(M113,'DETAILED MODELLER - PERSON 1'!$L$18:$AW$47,1,FALSE)),0,VLOOKUP(M113,'DETAILED MODELLER - PERSON 1'!$L$18:$AW$47,28,FALSE))</f>
        <v>398.9829521396631</v>
      </c>
      <c r="W113" s="223">
        <f>IF(ISERROR(VLOOKUP(M113,'DETAILED MODELLER - PERSON 1'!$L$18:$AW$47,1,FALSE)),"-",VLOOKUP(M113,'DETAILED MODELLER - PERSON 1'!$L$18:$AW$47,34,FALSE))</f>
        <v>0.01</v>
      </c>
      <c r="X113" s="223">
        <f>IF(ISERROR(VLOOKUP(M113,'DETAILED MODELLER - PERSON 1'!$L$18:$AW$47,1,FALSE)),"-",VLOOKUP(M113,'DETAILED MODELLER - PERSON 1'!$L$18:$AW$47,33,FALSE))</f>
        <v>0.5</v>
      </c>
      <c r="Y113" s="357">
        <f>IF(ISERROR(VLOOKUP(M113,'DETAILED MODELLER - PERSON 1'!$L$18:$AW$47,1,FALSE)),0,VLOOKUP(M113,'DETAILED MODELLER - PERSON 1'!$L$18:$AW$47,35,FALSE))</f>
        <v>224.42340017792458</v>
      </c>
    </row>
    <row r="114" spans="2:25" ht="19">
      <c r="B114" s="199">
        <f>'DETAILED MODELLER - PERSON 1'!C154</f>
        <v>2038</v>
      </c>
      <c r="C114" s="211">
        <f>'DETAILED MODELLER - PERSON 1'!D39</f>
        <v>83</v>
      </c>
      <c r="D114" s="196">
        <f>'DETAILED MODELLER - PERSON 1'!D154</f>
        <v>0.02</v>
      </c>
      <c r="E114" s="198">
        <f>'DETAILED MODELLER - PERSON 1'!M39</f>
        <v>0</v>
      </c>
      <c r="F114" s="165">
        <f>'DETAILED MODELLER - PERSON 1'!E154</f>
        <v>15773.598937722725</v>
      </c>
      <c r="G114" s="227">
        <f>'DETAILED MODELLER - PERSON 1'!F154</f>
        <v>24071.132186273295</v>
      </c>
      <c r="H114" s="443">
        <f>'DETAILED MODELLER - PERSON 1'!G154</f>
        <v>-8297.5332485505696</v>
      </c>
      <c r="I114" s="228">
        <f>'DETAILED MODELLER - PERSON 1'!H154</f>
        <v>7476.0656891721555</v>
      </c>
      <c r="J114" s="446">
        <f>'DETAILED MODELLER - PERSON 1'!I154</f>
        <v>-93365.127082309671</v>
      </c>
      <c r="K114" s="396">
        <f t="shared" si="0"/>
        <v>0.47396068067212405</v>
      </c>
      <c r="M114" s="244">
        <f t="shared" si="1"/>
        <v>2042</v>
      </c>
      <c r="N114" s="257">
        <f>IF(ISERROR(VLOOKUP(M114,$B$93:$C$122,2,FALSE)),"BEYOND RANGE",VLOOKUP(M114,B114:C143,2,FALSE))</f>
        <v>87</v>
      </c>
      <c r="O114" s="223">
        <f>IF(ISERROR(VLOOKUP(M114,'DETAILED MODELLER - PERSON 1'!$L$18:$AW$47,2,FALSE)),"-",VLOOKUP(M114,'DETAILED MODELLER - PERSON 1'!$L$18:$AW$47,9,FALSE))</f>
        <v>0</v>
      </c>
      <c r="P114" s="356">
        <f>IF(ISERROR(VLOOKUP(M114,'DETAILED MODELLER - PERSON 1'!$L$18:$AW$47,2,FALSE)),0,VLOOKUP(M114,'DETAILED MODELLER - PERSON 1'!$L$18:$AW$47,10,FALSE))</f>
        <v>34.017160214976172</v>
      </c>
      <c r="Q114" s="223">
        <f>IF(ISERROR(VLOOKUP(M114,'DETAILED MODELLER - PERSON 1'!$L$18:$AW$47,1,FALSE)),"-",VLOOKUP(M114,'DETAILED MODELLER - PERSON 1'!$L$18:$AW$47,15,FALSE))</f>
        <v>0</v>
      </c>
      <c r="R114" s="294">
        <f>IF(ISERROR(VLOOKUP(M114,'DETAILED MODELLER - PERSON 1'!$L$18:$AW$47,1,FALSE)),0,VLOOKUP(M114,'DETAILED MODELLER - PERSON 1'!$L$18:$AW$47,16,FALSE))</f>
        <v>40.600588547883113</v>
      </c>
      <c r="S114" s="223">
        <f>IF(ISERROR(VLOOKUP(M114,'DETAILED MODELLER - PERSON 1'!$L$18:$AW$47,1,FALSE)),"-",VLOOKUP(M114,'DETAILED MODELLER - PERSON 1'!$L$18:$AW$47,21,FALSE))</f>
        <v>0.01</v>
      </c>
      <c r="T114" s="294">
        <f>IF(ISERROR(VLOOKUP(M114,'DETAILED MODELLER - PERSON 1'!$L$18:$AW$47,1,FALSE)),0,VLOOKUP(M114,'DETAILED MODELLER - PERSON 1'!$L$18:$AW$47,22,FALSE))</f>
        <v>211.44886305959994</v>
      </c>
      <c r="U114" s="223">
        <f>IF(ISERROR(VLOOKUP(M114,'DETAILED MODELLER - PERSON 1'!$L$18:$AW$47,1,FALSE)),"-",VLOOKUP(M114,'DETAILED MODELLER - PERSON 1'!$L$18:$AW$47,27,FALSE))</f>
        <v>0.01</v>
      </c>
      <c r="V114" s="294">
        <f>IF(ISERROR(VLOOKUP(M114,'DETAILED MODELLER - PERSON 1'!$L$18:$AW$47,1,FALSE)),0,VLOOKUP(M114,'DETAILED MODELLER - PERSON 1'!$L$18:$AW$47,28,FALSE))</f>
        <v>224.90039039030484</v>
      </c>
      <c r="W114" s="223">
        <f>IF(ISERROR(VLOOKUP(M114,'DETAILED MODELLER - PERSON 1'!$L$18:$AW$47,1,FALSE)),"-",VLOOKUP(M114,'DETAILED MODELLER - PERSON 1'!$L$18:$AW$47,34,FALSE))</f>
        <v>0.01</v>
      </c>
      <c r="X114" s="223">
        <f>IF(ISERROR(VLOOKUP(M114,'DETAILED MODELLER - PERSON 1'!$L$18:$AW$47,1,FALSE)),"-",VLOOKUP(M114,'DETAILED MODELLER - PERSON 1'!$L$18:$AW$47,33,FALSE))</f>
        <v>0.5</v>
      </c>
      <c r="Y114" s="357">
        <f>IF(ISERROR(VLOOKUP(M114,'DETAILED MODELLER - PERSON 1'!$L$18:$AW$47,1,FALSE)),0,VLOOKUP(M114,'DETAILED MODELLER - PERSON 1'!$L$18:$AW$47,35,FALSE))</f>
        <v>226.90386933778589</v>
      </c>
    </row>
    <row r="115" spans="2:25" ht="19">
      <c r="B115" s="199">
        <f>'DETAILED MODELLER - PERSON 1'!C155</f>
        <v>2039</v>
      </c>
      <c r="C115" s="211">
        <f>'DETAILED MODELLER - PERSON 1'!D40</f>
        <v>84</v>
      </c>
      <c r="D115" s="196">
        <f>'DETAILED MODELLER - PERSON 1'!D155</f>
        <v>0.02</v>
      </c>
      <c r="E115" s="198">
        <f>'DETAILED MODELLER - PERSON 1'!M40</f>
        <v>0</v>
      </c>
      <c r="F115" s="165">
        <f>'DETAILED MODELLER - PERSON 1'!E155</f>
        <v>15806.80651443372</v>
      </c>
      <c r="G115" s="227">
        <f>'DETAILED MODELLER - PERSON 1'!F155</f>
        <v>24552.55482999876</v>
      </c>
      <c r="H115" s="443">
        <f>'DETAILED MODELLER - PERSON 1'!G155</f>
        <v>-8745.7483155650407</v>
      </c>
      <c r="I115" s="228">
        <f>'DETAILED MODELLER - PERSON 1'!H155</f>
        <v>7061.058198868679</v>
      </c>
      <c r="J115" s="446">
        <f>'DETAILED MODELLER - PERSON 1'!I155</f>
        <v>-102110.87539787471</v>
      </c>
      <c r="K115" s="396">
        <f t="shared" si="0"/>
        <v>0.44670997854126909</v>
      </c>
      <c r="M115" s="244">
        <f t="shared" si="1"/>
        <v>2043</v>
      </c>
      <c r="N115" s="257">
        <f>IF(ISERROR(VLOOKUP(M115,$B$93:$C$122,2,FALSE)),"BEYOND RANGE",VLOOKUP(M115,B115:C145,2,FALSE))</f>
        <v>88</v>
      </c>
      <c r="O115" s="223">
        <f>IF(ISERROR(VLOOKUP(M115,'DETAILED MODELLER - PERSON 1'!$L$18:$AW$47,2,FALSE)),"-",VLOOKUP(M115,'DETAILED MODELLER - PERSON 1'!$L$18:$AW$47,9,FALSE))</f>
        <v>0</v>
      </c>
      <c r="P115" s="356">
        <f>IF(ISERROR(VLOOKUP(M115,'DETAILED MODELLER - PERSON 1'!$L$18:$AW$47,2,FALSE)),0,VLOOKUP(M115,'DETAILED MODELLER - PERSON 1'!$L$18:$AW$47,10,FALSE))</f>
        <v>34.088775289112967</v>
      </c>
      <c r="Q115" s="223">
        <f>IF(ISERROR(VLOOKUP(M115,'DETAILED MODELLER - PERSON 1'!$L$18:$AW$47,1,FALSE)),"-",VLOOKUP(M115,'DETAILED MODELLER - PERSON 1'!$L$18:$AW$47,15,FALSE))</f>
        <v>0.02</v>
      </c>
      <c r="R115" s="294">
        <f>IF(ISERROR(VLOOKUP(M115,'DETAILED MODELLER - PERSON 1'!$L$18:$AW$47,1,FALSE)),0,VLOOKUP(M115,'DETAILED MODELLER - PERSON 1'!$L$18:$AW$47,16,FALSE))</f>
        <v>386.5176029758473</v>
      </c>
      <c r="S115" s="223">
        <f>IF(ISERROR(VLOOKUP(M115,'DETAILED MODELLER - PERSON 1'!$L$18:$AW$47,1,FALSE)),"-",VLOOKUP(M115,'DETAILED MODELLER - PERSON 1'!$L$18:$AW$47,21,FALSE))</f>
        <v>0.01</v>
      </c>
      <c r="T115" s="294">
        <f>IF(ISERROR(VLOOKUP(M115,'DETAILED MODELLER - PERSON 1'!$L$18:$AW$47,1,FALSE)),0,VLOOKUP(M115,'DETAILED MODELLER - PERSON 1'!$L$18:$AW$47,22,FALSE))</f>
        <v>213.78592944078494</v>
      </c>
      <c r="U115" s="223">
        <f>IF(ISERROR(VLOOKUP(M115,'DETAILED MODELLER - PERSON 1'!$L$18:$AW$47,1,FALSE)),"-",VLOOKUP(M115,'DETAILED MODELLER - PERSON 1'!$L$18:$AW$47,27,FALSE))</f>
        <v>0.01</v>
      </c>
      <c r="V115" s="294">
        <f>IF(ISERROR(VLOOKUP(M115,'DETAILED MODELLER - PERSON 1'!$L$18:$AW$47,1,FALSE)),0,VLOOKUP(M115,'DETAILED MODELLER - PERSON 1'!$L$18:$AW$47,28,FALSE))</f>
        <v>227.3861315472503</v>
      </c>
      <c r="W115" s="223">
        <f>IF(ISERROR(VLOOKUP(M115,'DETAILED MODELLER - PERSON 1'!$L$18:$AW$47,1,FALSE)),"-",VLOOKUP(M115,'DETAILED MODELLER - PERSON 1'!$L$18:$AW$47,34,FALSE))</f>
        <v>0.01</v>
      </c>
      <c r="X115" s="223">
        <f>IF(ISERROR(VLOOKUP(M115,'DETAILED MODELLER - PERSON 1'!$L$18:$AW$47,1,FALSE)),"-",VLOOKUP(M115,'DETAILED MODELLER - PERSON 1'!$L$18:$AW$47,33,FALSE))</f>
        <v>0.5</v>
      </c>
      <c r="Y115" s="357">
        <f>IF(ISERROR(VLOOKUP(M115,'DETAILED MODELLER - PERSON 1'!$L$18:$AW$47,1,FALSE)),0,VLOOKUP(M115,'DETAILED MODELLER - PERSON 1'!$L$18:$AW$47,35,FALSE))</f>
        <v>229.41175420941397</v>
      </c>
    </row>
    <row r="116" spans="2:25" ht="19">
      <c r="B116" s="199">
        <f>'DETAILED MODELLER - PERSON 1'!C156</f>
        <v>2040</v>
      </c>
      <c r="C116" s="211">
        <f>'DETAILED MODELLER - PERSON 1'!D41</f>
        <v>85</v>
      </c>
      <c r="D116" s="196">
        <f>'DETAILED MODELLER - PERSON 1'!D156</f>
        <v>0.02</v>
      </c>
      <c r="E116" s="198">
        <f>'DETAILED MODELLER - PERSON 1'!M41</f>
        <v>0</v>
      </c>
      <c r="F116" s="165">
        <f>'DETAILED MODELLER - PERSON 1'!E156</f>
        <v>15840.084001832527</v>
      </c>
      <c r="G116" s="227">
        <f>'DETAILED MODELLER - PERSON 1'!F156</f>
        <v>25043.605926598735</v>
      </c>
      <c r="H116" s="443">
        <f>'DETAILED MODELLER - PERSON 1'!G156</f>
        <v>-9203.521924766208</v>
      </c>
      <c r="I116" s="228">
        <f>'DETAILED MODELLER - PERSON 1'!H156</f>
        <v>6636.562077066319</v>
      </c>
      <c r="J116" s="446">
        <f>'DETAILED MODELLER - PERSON 1'!I156</f>
        <v>-111314.39732264091</v>
      </c>
      <c r="K116" s="396">
        <f t="shared" si="0"/>
        <v>0.41897265672950601</v>
      </c>
      <c r="M116" s="244">
        <f t="shared" si="1"/>
        <v>2044</v>
      </c>
      <c r="N116" s="257">
        <f>IF(ISERROR(VLOOKUP(M116,$B$93:$C$122,2,FALSE)),"BEYOND RANGE",VLOOKUP(M116,B116:C149,2,FALSE))</f>
        <v>89</v>
      </c>
      <c r="O116" s="223">
        <f>IF(ISERROR(VLOOKUP(M116,'DETAILED MODELLER - PERSON 1'!$L$18:$AW$47,2,FALSE)),"-",VLOOKUP(M116,'DETAILED MODELLER - PERSON 1'!$L$18:$AW$47,9,FALSE))</f>
        <v>0</v>
      </c>
      <c r="P116" s="356">
        <f>IF(ISERROR(VLOOKUP(M116,'DETAILED MODELLER - PERSON 1'!$L$18:$AW$47,2,FALSE)),0,VLOOKUP(M116,'DETAILED MODELLER - PERSON 1'!$L$18:$AW$47,10,FALSE))</f>
        <v>34.160541131826889</v>
      </c>
      <c r="Q116" s="223">
        <f>IF(ISERROR(VLOOKUP(M116,'DETAILED MODELLER - PERSON 1'!$L$18:$AW$47,1,FALSE)),"-",VLOOKUP(M116,'DETAILED MODELLER - PERSON 1'!$L$18:$AW$47,15,FALSE))</f>
        <v>0</v>
      </c>
      <c r="R116" s="294">
        <f>IF(ISERROR(VLOOKUP(M116,'DETAILED MODELLER - PERSON 1'!$L$18:$AW$47,1,FALSE)),0,VLOOKUP(M116,'DETAILED MODELLER - PERSON 1'!$L$18:$AW$47,16,FALSE))</f>
        <v>41.499784740564657</v>
      </c>
      <c r="S116" s="223">
        <f>IF(ISERROR(VLOOKUP(M116,'DETAILED MODELLER - PERSON 1'!$L$18:$AW$47,1,FALSE)),"-",VLOOKUP(M116,'DETAILED MODELLER - PERSON 1'!$L$18:$AW$47,21,FALSE))</f>
        <v>0.01</v>
      </c>
      <c r="T116" s="294">
        <f>IF(ISERROR(VLOOKUP(M116,'DETAILED MODELLER - PERSON 1'!$L$18:$AW$47,1,FALSE)),0,VLOOKUP(M116,'DETAILED MODELLER - PERSON 1'!$L$18:$AW$47,22,FALSE))</f>
        <v>216.1488265556568</v>
      </c>
      <c r="U116" s="223">
        <f>IF(ISERROR(VLOOKUP(M116,'DETAILED MODELLER - PERSON 1'!$L$18:$AW$47,1,FALSE)),"-",VLOOKUP(M116,'DETAILED MODELLER - PERSON 1'!$L$18:$AW$47,27,FALSE))</f>
        <v>0.02</v>
      </c>
      <c r="V116" s="294">
        <f>IF(ISERROR(VLOOKUP(M116,'DETAILED MODELLER - PERSON 1'!$L$18:$AW$47,1,FALSE)),0,VLOOKUP(M116,'DETAILED MODELLER - PERSON 1'!$L$18:$AW$47,28,FALSE))</f>
        <v>416.00834162120742</v>
      </c>
      <c r="W116" s="223">
        <f>IF(ISERROR(VLOOKUP(M116,'DETAILED MODELLER - PERSON 1'!$L$18:$AW$47,1,FALSE)),"-",VLOOKUP(M116,'DETAILED MODELLER - PERSON 1'!$L$18:$AW$47,34,FALSE))</f>
        <v>0.01</v>
      </c>
      <c r="X116" s="223">
        <f>IF(ISERROR(VLOOKUP(M116,'DETAILED MODELLER - PERSON 1'!$L$18:$AW$47,1,FALSE)),"-",VLOOKUP(M116,'DETAILED MODELLER - PERSON 1'!$L$18:$AW$47,33,FALSE))</f>
        <v>0.5</v>
      </c>
      <c r="Y116" s="357">
        <f>IF(ISERROR(VLOOKUP(M116,'DETAILED MODELLER - PERSON 1'!$L$18:$AW$47,1,FALSE)),0,VLOOKUP(M116,'DETAILED MODELLER - PERSON 1'!$L$18:$AW$47,35,FALSE))</f>
        <v>231.9473578085707</v>
      </c>
    </row>
    <row r="117" spans="2:25" ht="19">
      <c r="B117" s="199">
        <f>'DETAILED MODELLER - PERSON 1'!C157</f>
        <v>2041</v>
      </c>
      <c r="C117" s="211">
        <f>'DETAILED MODELLER - PERSON 1'!D42</f>
        <v>86</v>
      </c>
      <c r="D117" s="196">
        <f>'DETAILED MODELLER - PERSON 1'!D157</f>
        <v>0.02</v>
      </c>
      <c r="E117" s="198">
        <f>'DETAILED MODELLER - PERSON 1'!M42</f>
        <v>0</v>
      </c>
      <c r="F117" s="165">
        <f>'DETAILED MODELLER - PERSON 1'!E157</f>
        <v>15873.431547099543</v>
      </c>
      <c r="G117" s="227">
        <f>'DETAILED MODELLER - PERSON 1'!F157</f>
        <v>25544.478045130709</v>
      </c>
      <c r="H117" s="443">
        <f>'DETAILED MODELLER - PERSON 1'!G157</f>
        <v>-9671.0464980311663</v>
      </c>
      <c r="I117" s="228">
        <f>'DETAILED MODELLER - PERSON 1'!H157</f>
        <v>6202.3850490683762</v>
      </c>
      <c r="J117" s="446">
        <f>'DETAILED MODELLER - PERSON 1'!I157</f>
        <v>-120985.44382067208</v>
      </c>
      <c r="K117" s="396">
        <f t="shared" si="0"/>
        <v>0.3907400255996758</v>
      </c>
      <c r="M117" s="244">
        <f t="shared" si="1"/>
        <v>2045</v>
      </c>
      <c r="N117" s="257">
        <f>IF(ISERROR(VLOOKUP(M117,$B$93:$C$122,2,FALSE)),"BEYOND RANGE",VLOOKUP(M117,B117:C151,2,FALSE))</f>
        <v>90</v>
      </c>
      <c r="O117" s="223">
        <f>IF(ISERROR(VLOOKUP(M117,'DETAILED MODELLER - PERSON 1'!$L$18:$AW$47,2,FALSE)),"-",VLOOKUP(M117,'DETAILED MODELLER - PERSON 1'!$L$18:$AW$47,9,FALSE))</f>
        <v>0</v>
      </c>
      <c r="P117" s="356">
        <f>IF(ISERROR(VLOOKUP(M117,'DETAILED MODELLER - PERSON 1'!$L$18:$AW$47,2,FALSE)),0,VLOOKUP(M117,'DETAILED MODELLER - PERSON 1'!$L$18:$AW$47,10,FALSE))</f>
        <v>34.232458060525474</v>
      </c>
      <c r="Q117" s="223">
        <f>IF(ISERROR(VLOOKUP(M117,'DETAILED MODELLER - PERSON 1'!$L$18:$AW$47,1,FALSE)),"-",VLOOKUP(M117,'DETAILED MODELLER - PERSON 1'!$L$18:$AW$47,15,FALSE))</f>
        <v>0.02</v>
      </c>
      <c r="R117" s="294">
        <f>IF(ISERROR(VLOOKUP(M117,'DETAILED MODELLER - PERSON 1'!$L$18:$AW$47,1,FALSE)),0,VLOOKUP(M117,'DETAILED MODELLER - PERSON 1'!$L$18:$AW$47,16,FALSE))</f>
        <v>395.07795073017553</v>
      </c>
      <c r="S117" s="223">
        <f>IF(ISERROR(VLOOKUP(M117,'DETAILED MODELLER - PERSON 1'!$L$18:$AW$47,1,FALSE)),"-",VLOOKUP(M117,'DETAILED MODELLER - PERSON 1'!$L$18:$AW$47,21,FALSE))</f>
        <v>0.01</v>
      </c>
      <c r="T117" s="294">
        <f>IF(ISERROR(VLOOKUP(M117,'DETAILED MODELLER - PERSON 1'!$L$18:$AW$47,1,FALSE)),0,VLOOKUP(M117,'DETAILED MODELLER - PERSON 1'!$L$18:$AW$47,22,FALSE))</f>
        <v>218.53783990179829</v>
      </c>
      <c r="U117" s="223">
        <f>IF(ISERROR(VLOOKUP(M117,'DETAILED MODELLER - PERSON 1'!$L$18:$AW$47,1,FALSE)),"-",VLOOKUP(M117,'DETAILED MODELLER - PERSON 1'!$L$18:$AW$47,27,FALSE))</f>
        <v>0.01</v>
      </c>
      <c r="V117" s="294">
        <f>IF(ISERROR(VLOOKUP(M117,'DETAILED MODELLER - PERSON 1'!$L$18:$AW$47,1,FALSE)),0,VLOOKUP(M117,'DETAILED MODELLER - PERSON 1'!$L$18:$AW$47,28,FALSE))</f>
        <v>234.4973336191122</v>
      </c>
      <c r="W117" s="223">
        <f>IF(ISERROR(VLOOKUP(M117,'DETAILED MODELLER - PERSON 1'!$L$18:$AW$47,1,FALSE)),"-",VLOOKUP(M117,'DETAILED MODELLER - PERSON 1'!$L$18:$AW$47,34,FALSE))</f>
        <v>0.01</v>
      </c>
      <c r="X117" s="223">
        <f>IF(ISERROR(VLOOKUP(M117,'DETAILED MODELLER - PERSON 1'!$L$18:$AW$47,1,FALSE)),"-",VLOOKUP(M117,'DETAILED MODELLER - PERSON 1'!$L$18:$AW$47,33,FALSE))</f>
        <v>0.5</v>
      </c>
      <c r="Y117" s="357">
        <f>IF(ISERROR(VLOOKUP(M117,'DETAILED MODELLER - PERSON 1'!$L$18:$AW$47,1,FALSE)),0,VLOOKUP(M117,'DETAILED MODELLER - PERSON 1'!$L$18:$AW$47,35,FALSE))</f>
        <v>234.5109865001391</v>
      </c>
    </row>
    <row r="118" spans="2:25" ht="19">
      <c r="B118" s="199">
        <f>'DETAILED MODELLER - PERSON 1'!C158</f>
        <v>2042</v>
      </c>
      <c r="C118" s="211">
        <f>'DETAILED MODELLER - PERSON 1'!D43</f>
        <v>87</v>
      </c>
      <c r="D118" s="196">
        <f>'DETAILED MODELLER - PERSON 1'!D158</f>
        <v>0.02</v>
      </c>
      <c r="E118" s="198">
        <f>'DETAILED MODELLER - PERSON 1'!M43</f>
        <v>0</v>
      </c>
      <c r="F118" s="165">
        <f>'DETAILED MODELLER - PERSON 1'!E158</f>
        <v>15906.849297725015</v>
      </c>
      <c r="G118" s="227">
        <f>'DETAILED MODELLER - PERSON 1'!F158</f>
        <v>26055.367606033324</v>
      </c>
      <c r="H118" s="443">
        <f>'DETAILED MODELLER - PERSON 1'!G158</f>
        <v>-10148.518308308308</v>
      </c>
      <c r="I118" s="228">
        <f>'DETAILED MODELLER - PERSON 1'!H158</f>
        <v>5758.3309894167069</v>
      </c>
      <c r="J118" s="446">
        <f>'DETAILED MODELLER - PERSON 1'!I158</f>
        <v>-131133.96212898038</v>
      </c>
      <c r="K118" s="396">
        <f t="shared" si="0"/>
        <v>0.36200324034252707</v>
      </c>
      <c r="M118" s="244">
        <f t="shared" si="1"/>
        <v>2046</v>
      </c>
      <c r="N118" s="257">
        <f>IF(ISERROR(VLOOKUP(M118,$B$93:$C$122,2,FALSE)),"BEYOND RANGE",VLOOKUP(M118,B118:C153,2,FALSE))</f>
        <v>91</v>
      </c>
      <c r="O118" s="223">
        <f>IF(ISERROR(VLOOKUP(M118,'DETAILED MODELLER - PERSON 1'!$L$18:$AW$47,2,FALSE)),"-",VLOOKUP(M118,'DETAILED MODELLER - PERSON 1'!$L$18:$AW$47,9,FALSE))</f>
        <v>0.01</v>
      </c>
      <c r="P118" s="356">
        <f>IF(ISERROR(VLOOKUP(M118,'DETAILED MODELLER - PERSON 1'!$L$18:$AW$47,2,FALSE)),0,VLOOKUP(M118,'DETAILED MODELLER - PERSON 1'!$L$18:$AW$47,10,FALSE))</f>
        <v>180.09876356474351</v>
      </c>
      <c r="Q118" s="223">
        <f>IF(ISERROR(VLOOKUP(M118,'DETAILED MODELLER - PERSON 1'!$L$18:$AW$47,1,FALSE)),"-",VLOOKUP(M118,'DETAILED MODELLER - PERSON 1'!$L$18:$AW$47,15,FALSE))</f>
        <v>0</v>
      </c>
      <c r="R118" s="294">
        <f>IF(ISERROR(VLOOKUP(M118,'DETAILED MODELLER - PERSON 1'!$L$18:$AW$47,1,FALSE)),0,VLOOKUP(M118,'DETAILED MODELLER - PERSON 1'!$L$18:$AW$47,16,FALSE))</f>
        <v>42.418895762608308</v>
      </c>
      <c r="S118" s="223">
        <f>IF(ISERROR(VLOOKUP(M118,'DETAILED MODELLER - PERSON 1'!$L$18:$AW$47,1,FALSE)),"-",VLOOKUP(M118,'DETAILED MODELLER - PERSON 1'!$L$18:$AW$47,21,FALSE))</f>
        <v>0.01</v>
      </c>
      <c r="T118" s="294">
        <f>IF(ISERROR(VLOOKUP(M118,'DETAILED MODELLER - PERSON 1'!$L$18:$AW$47,1,FALSE)),0,VLOOKUP(M118,'DETAILED MODELLER - PERSON 1'!$L$18:$AW$47,22,FALSE))</f>
        <v>220.95325813229184</v>
      </c>
      <c r="U118" s="223">
        <f>IF(ISERROR(VLOOKUP(M118,'DETAILED MODELLER - PERSON 1'!$L$18:$AW$47,1,FALSE)),"-",VLOOKUP(M118,'DETAILED MODELLER - PERSON 1'!$L$18:$AW$47,27,FALSE))</f>
        <v>0.01</v>
      </c>
      <c r="V118" s="294">
        <f>IF(ISERROR(VLOOKUP(M118,'DETAILED MODELLER - PERSON 1'!$L$18:$AW$47,1,FALSE)),0,VLOOKUP(M118,'DETAILED MODELLER - PERSON 1'!$L$18:$AW$47,28,FALSE))</f>
        <v>237.08914625384975</v>
      </c>
      <c r="W118" s="223">
        <f>IF(ISERROR(VLOOKUP(M118,'DETAILED MODELLER - PERSON 1'!$L$18:$AW$47,1,FALSE)),"-",VLOOKUP(M118,'DETAILED MODELLER - PERSON 1'!$L$18:$AW$47,34,FALSE))</f>
        <v>5.0000000000000001E-3</v>
      </c>
      <c r="X118" s="223">
        <f>IF(ISERROR(VLOOKUP(M118,'DETAILED MODELLER - PERSON 1'!$L$18:$AW$47,1,FALSE)),"-",VLOOKUP(M118,'DETAILED MODELLER - PERSON 1'!$L$18:$AW$47,33,FALSE))</f>
        <v>0.25</v>
      </c>
      <c r="Y118" s="357">
        <f>IF(ISERROR(VLOOKUP(M118,'DETAILED MODELLER - PERSON 1'!$L$18:$AW$47,1,FALSE)),0,VLOOKUP(M118,'DETAILED MODELLER - PERSON 1'!$L$18:$AW$47,35,FALSE))</f>
        <v>141.13270835425038</v>
      </c>
    </row>
    <row r="119" spans="2:25" ht="19">
      <c r="B119" s="199">
        <f>'DETAILED MODELLER - PERSON 1'!C159</f>
        <v>2043</v>
      </c>
      <c r="C119" s="211">
        <f>'DETAILED MODELLER - PERSON 1'!D44</f>
        <v>88</v>
      </c>
      <c r="D119" s="196">
        <f>'DETAILED MODELLER - PERSON 1'!D159</f>
        <v>0.02</v>
      </c>
      <c r="E119" s="198">
        <f>'DETAILED MODELLER - PERSON 1'!M44</f>
        <v>0</v>
      </c>
      <c r="F119" s="165">
        <f>'DETAILED MODELLER - PERSON 1'!E159</f>
        <v>15940.3374015097</v>
      </c>
      <c r="G119" s="227">
        <f>'DETAILED MODELLER - PERSON 1'!F159</f>
        <v>26576.474958153991</v>
      </c>
      <c r="H119" s="443">
        <f>'DETAILED MODELLER - PERSON 1'!G159</f>
        <v>-10636.137556644291</v>
      </c>
      <c r="I119" s="228">
        <f>'DETAILED MODELLER - PERSON 1'!H159</f>
        <v>5304.1998448654085</v>
      </c>
      <c r="J119" s="446">
        <f>'DETAILED MODELLER - PERSON 1'!I159</f>
        <v>-141770.09968562468</v>
      </c>
      <c r="K119" s="396">
        <f t="shared" si="0"/>
        <v>0.33275329820578647</v>
      </c>
      <c r="M119" s="244">
        <f t="shared" si="1"/>
        <v>2047</v>
      </c>
      <c r="N119" s="257" t="str">
        <f>IF(ISERROR(VLOOKUP(M119,$B$93:$C$122,2,FALSE)),"BEYOND RANGE",VLOOKUP(M119,B119:C155,2,FALSE))</f>
        <v>BEYOND RANGE</v>
      </c>
      <c r="O119" s="223" t="str">
        <f>IF(ISERROR(VLOOKUP(M119,'DETAILED MODELLER - PERSON 1'!$L$18:$AW$47,2,FALSE)),"-",VLOOKUP(M119,'DETAILED MODELLER - PERSON 1'!$L$18:$AW$47,9,FALSE))</f>
        <v>-</v>
      </c>
      <c r="P119" s="356">
        <f>IF(ISERROR(VLOOKUP(M119,'DETAILED MODELLER - PERSON 1'!$L$18:$AW$47,2,FALSE)),0,VLOOKUP(M119,'DETAILED MODELLER - PERSON 1'!$L$18:$AW$47,10,FALSE))</f>
        <v>0</v>
      </c>
      <c r="Q119" s="223" t="str">
        <f>IF(ISERROR(VLOOKUP(M119,'DETAILED MODELLER - PERSON 1'!$L$18:$AW$47,1,FALSE)),"-",VLOOKUP(M119,'DETAILED MODELLER - PERSON 1'!$L$18:$AW$47,15,FALSE))</f>
        <v>-</v>
      </c>
      <c r="R119" s="294">
        <f>IF(ISERROR(VLOOKUP(M119,'DETAILED MODELLER - PERSON 1'!$L$18:$AW$47,1,FALSE)),0,VLOOKUP(M119,'DETAILED MODELLER - PERSON 1'!$L$18:$AW$47,16,FALSE))</f>
        <v>0</v>
      </c>
      <c r="S119" s="223" t="str">
        <f>IF(ISERROR(VLOOKUP(M119,'DETAILED MODELLER - PERSON 1'!$L$18:$AW$47,1,FALSE)),"-",VLOOKUP(M119,'DETAILED MODELLER - PERSON 1'!$L$18:$AW$47,21,FALSE))</f>
        <v>-</v>
      </c>
      <c r="T119" s="294">
        <f>IF(ISERROR(VLOOKUP(M119,'DETAILED MODELLER - PERSON 1'!$L$18:$AW$47,1,FALSE)),0,VLOOKUP(M119,'DETAILED MODELLER - PERSON 1'!$L$18:$AW$47,22,FALSE))</f>
        <v>0</v>
      </c>
      <c r="U119" s="223" t="str">
        <f>IF(ISERROR(VLOOKUP(M119,'DETAILED MODELLER - PERSON 1'!$L$18:$AW$47,1,FALSE)),"-",VLOOKUP(M119,'DETAILED MODELLER - PERSON 1'!$L$18:$AW$47,27,FALSE))</f>
        <v>-</v>
      </c>
      <c r="V119" s="294">
        <f>IF(ISERROR(VLOOKUP(M119,'DETAILED MODELLER - PERSON 1'!$L$18:$AW$47,1,FALSE)),0,VLOOKUP(M119,'DETAILED MODELLER - PERSON 1'!$L$18:$AW$47,28,FALSE))</f>
        <v>0</v>
      </c>
      <c r="W119" s="223" t="str">
        <f>IF(ISERROR(VLOOKUP(M119,'DETAILED MODELLER - PERSON 1'!$L$18:$AW$47,1,FALSE)),"-",VLOOKUP(M119,'DETAILED MODELLER - PERSON 1'!$L$18:$AW$47,34,FALSE))</f>
        <v>-</v>
      </c>
      <c r="X119" s="223" t="str">
        <f>IF(ISERROR(VLOOKUP(M119,'DETAILED MODELLER - PERSON 1'!$L$18:$AW$47,1,FALSE)),"-",VLOOKUP(M119,'DETAILED MODELLER - PERSON 1'!$L$18:$AW$47,33,FALSE))</f>
        <v>-</v>
      </c>
      <c r="Y119" s="357">
        <f>IF(ISERROR(VLOOKUP(M119,'DETAILED MODELLER - PERSON 1'!$L$18:$AW$47,1,FALSE)),0,VLOOKUP(M119,'DETAILED MODELLER - PERSON 1'!$L$18:$AW$47,35,FALSE))</f>
        <v>0</v>
      </c>
    </row>
    <row r="120" spans="2:25" ht="19">
      <c r="B120" s="199">
        <f>'DETAILED MODELLER - PERSON 1'!C160</f>
        <v>2044</v>
      </c>
      <c r="C120" s="211">
        <f>'DETAILED MODELLER - PERSON 1'!D45</f>
        <v>89</v>
      </c>
      <c r="D120" s="196">
        <f>'DETAILED MODELLER - PERSON 1'!D160</f>
        <v>0.02</v>
      </c>
      <c r="E120" s="198">
        <f>'DETAILED MODELLER - PERSON 1'!M45</f>
        <v>0</v>
      </c>
      <c r="F120" s="165">
        <f>'DETAILED MODELLER - PERSON 1'!E160</f>
        <v>15973.89600656551</v>
      </c>
      <c r="G120" s="227">
        <f>'DETAILED MODELLER - PERSON 1'!F160</f>
        <v>27108.004457317071</v>
      </c>
      <c r="H120" s="443">
        <f>'DETAILED MODELLER - PERSON 1'!G160</f>
        <v>-11134.108450751561</v>
      </c>
      <c r="I120" s="228">
        <f>'DETAILED MODELLER - PERSON 1'!H160</f>
        <v>4839.7875558139494</v>
      </c>
      <c r="J120" s="446">
        <f>'DETAILED MODELLER - PERSON 1'!I160</f>
        <v>-152904.20813637623</v>
      </c>
      <c r="K120" s="396">
        <f t="shared" si="0"/>
        <v>0.30298103567374701</v>
      </c>
      <c r="M120" s="244">
        <f t="shared" si="1"/>
        <v>2048</v>
      </c>
      <c r="N120" s="257" t="str">
        <f>IF(ISERROR(VLOOKUP(M120,$B$93:$C$122,2,FALSE)),"BEYOND RANGE",VLOOKUP(M120,B120:C156,2,FALSE))</f>
        <v>BEYOND RANGE</v>
      </c>
      <c r="O120" s="223" t="str">
        <f>IF(ISERROR(VLOOKUP(M120,'DETAILED MODELLER - PERSON 1'!$L$18:$AW$47,2,FALSE)),"-",VLOOKUP(M120,'DETAILED MODELLER - PERSON 1'!$L$18:$AW$47,9,FALSE))</f>
        <v>-</v>
      </c>
      <c r="P120" s="356">
        <f>IF(ISERROR(VLOOKUP(M120,'DETAILED MODELLER - PERSON 1'!$L$18:$AW$47,2,FALSE)),0,VLOOKUP(M120,'DETAILED MODELLER - PERSON 1'!$L$18:$AW$47,10,FALSE))</f>
        <v>0</v>
      </c>
      <c r="Q120" s="223" t="str">
        <f>IF(ISERROR(VLOOKUP(M120,'DETAILED MODELLER - PERSON 1'!$L$18:$AW$47,1,FALSE)),"-",VLOOKUP(M120,'DETAILED MODELLER - PERSON 1'!$L$18:$AW$47,15,FALSE))</f>
        <v>-</v>
      </c>
      <c r="R120" s="294">
        <f>IF(ISERROR(VLOOKUP(M120,'DETAILED MODELLER - PERSON 1'!$L$18:$AW$47,1,FALSE)),0,VLOOKUP(M120,'DETAILED MODELLER - PERSON 1'!$L$18:$AW$47,16,FALSE))</f>
        <v>0</v>
      </c>
      <c r="S120" s="223" t="str">
        <f>IF(ISERROR(VLOOKUP(M120,'DETAILED MODELLER - PERSON 1'!$L$18:$AW$47,1,FALSE)),"-",VLOOKUP(M120,'DETAILED MODELLER - PERSON 1'!$L$18:$AW$47,21,FALSE))</f>
        <v>-</v>
      </c>
      <c r="T120" s="294">
        <f>IF(ISERROR(VLOOKUP(M120,'DETAILED MODELLER - PERSON 1'!$L$18:$AW$47,1,FALSE)),0,VLOOKUP(M120,'DETAILED MODELLER - PERSON 1'!$L$18:$AW$47,22,FALSE))</f>
        <v>0</v>
      </c>
      <c r="U120" s="223" t="str">
        <f>IF(ISERROR(VLOOKUP(M120,'DETAILED MODELLER - PERSON 1'!$L$18:$AW$47,1,FALSE)),"-",VLOOKUP(M120,'DETAILED MODELLER - PERSON 1'!$L$18:$AW$47,27,FALSE))</f>
        <v>-</v>
      </c>
      <c r="V120" s="294">
        <f>IF(ISERROR(VLOOKUP(M120,'DETAILED MODELLER - PERSON 1'!$L$18:$AW$47,1,FALSE)),0,VLOOKUP(M120,'DETAILED MODELLER - PERSON 1'!$L$18:$AW$47,28,FALSE))</f>
        <v>0</v>
      </c>
      <c r="W120" s="223" t="str">
        <f>IF(ISERROR(VLOOKUP(M120,'DETAILED MODELLER - PERSON 1'!$L$18:$AW$47,1,FALSE)),"-",VLOOKUP(M120,'DETAILED MODELLER - PERSON 1'!$L$18:$AW$47,34,FALSE))</f>
        <v>-</v>
      </c>
      <c r="X120" s="223" t="str">
        <f>IF(ISERROR(VLOOKUP(M120,'DETAILED MODELLER - PERSON 1'!$L$18:$AW$47,1,FALSE)),"-",VLOOKUP(M120,'DETAILED MODELLER - PERSON 1'!$L$18:$AW$47,33,FALSE))</f>
        <v>-</v>
      </c>
      <c r="Y120" s="357">
        <f>IF(ISERROR(VLOOKUP(M120,'DETAILED MODELLER - PERSON 1'!$L$18:$AW$47,1,FALSE)),0,VLOOKUP(M120,'DETAILED MODELLER - PERSON 1'!$L$18:$AW$47,35,FALSE))</f>
        <v>0</v>
      </c>
    </row>
    <row r="121" spans="2:25" ht="19">
      <c r="B121" s="199">
        <f>'DETAILED MODELLER - PERSON 1'!C161</f>
        <v>2045</v>
      </c>
      <c r="C121" s="211">
        <f>'DETAILED MODELLER - PERSON 1'!D46</f>
        <v>90</v>
      </c>
      <c r="D121" s="196">
        <f>'DETAILED MODELLER - PERSON 1'!D161</f>
        <v>0.02</v>
      </c>
      <c r="E121" s="198">
        <f>'DETAILED MODELLER - PERSON 1'!M46</f>
        <v>0</v>
      </c>
      <c r="F121" s="165">
        <f>'DETAILED MODELLER - PERSON 1'!E161</f>
        <v>16007.525261316174</v>
      </c>
      <c r="G121" s="227">
        <f>'DETAILED MODELLER - PERSON 1'!F161</f>
        <v>27650.164546463413</v>
      </c>
      <c r="H121" s="443">
        <f>'DETAILED MODELLER - PERSON 1'!G161</f>
        <v>-11642.639285147239</v>
      </c>
      <c r="I121" s="228">
        <f>'DETAILED MODELLER - PERSON 1'!H161</f>
        <v>4364.8859761689346</v>
      </c>
      <c r="J121" s="446">
        <f>'DETAILED MODELLER - PERSON 1'!I161</f>
        <v>-164546.84742152347</v>
      </c>
      <c r="K121" s="396">
        <f t="shared" si="0"/>
        <v>0.27267712559649238</v>
      </c>
      <c r="M121" s="244">
        <f t="shared" si="1"/>
        <v>2049</v>
      </c>
      <c r="N121" s="257" t="str">
        <f>IF(ISERROR(VLOOKUP(M121,$B$93:$C$122,2,FALSE)),"BEYOND RANGE",VLOOKUP(M121,B121:C157,2,FALSE))</f>
        <v>BEYOND RANGE</v>
      </c>
      <c r="O121" s="223" t="str">
        <f>IF(ISERROR(VLOOKUP(M121,'DETAILED MODELLER - PERSON 1'!$L$18:$AW$47,2,FALSE)),"-",VLOOKUP(M121,'DETAILED MODELLER - PERSON 1'!$L$18:$AW$47,9,FALSE))</f>
        <v>-</v>
      </c>
      <c r="P121" s="356">
        <f>IF(ISERROR(VLOOKUP(M121,'DETAILED MODELLER - PERSON 1'!$L$18:$AW$47,2,FALSE)),0,VLOOKUP(M121,'DETAILED MODELLER - PERSON 1'!$L$18:$AW$47,10,FALSE))</f>
        <v>0</v>
      </c>
      <c r="Q121" s="223" t="str">
        <f>IF(ISERROR(VLOOKUP(M121,'DETAILED MODELLER - PERSON 1'!$L$18:$AW$47,1,FALSE)),"-",VLOOKUP(M121,'DETAILED MODELLER - PERSON 1'!$L$18:$AW$47,15,FALSE))</f>
        <v>-</v>
      </c>
      <c r="R121" s="294">
        <f>IF(ISERROR(VLOOKUP(M121,'DETAILED MODELLER - PERSON 1'!$L$18:$AW$47,1,FALSE)),0,VLOOKUP(M121,'DETAILED MODELLER - PERSON 1'!$L$18:$AW$47,16,FALSE))</f>
        <v>0</v>
      </c>
      <c r="S121" s="223" t="str">
        <f>IF(ISERROR(VLOOKUP(M121,'DETAILED MODELLER - PERSON 1'!$L$18:$AW$47,1,FALSE)),"-",VLOOKUP(M121,'DETAILED MODELLER - PERSON 1'!$L$18:$AW$47,21,FALSE))</f>
        <v>-</v>
      </c>
      <c r="T121" s="294">
        <f>IF(ISERROR(VLOOKUP(M121,'DETAILED MODELLER - PERSON 1'!$L$18:$AW$47,1,FALSE)),0,VLOOKUP(M121,'DETAILED MODELLER - PERSON 1'!$L$18:$AW$47,22,FALSE))</f>
        <v>0</v>
      </c>
      <c r="U121" s="223" t="str">
        <f>IF(ISERROR(VLOOKUP(M121,'DETAILED MODELLER - PERSON 1'!$L$18:$AW$47,1,FALSE)),"-",VLOOKUP(M121,'DETAILED MODELLER - PERSON 1'!$L$18:$AW$47,27,FALSE))</f>
        <v>-</v>
      </c>
      <c r="V121" s="294">
        <f>IF(ISERROR(VLOOKUP(M121,'DETAILED MODELLER - PERSON 1'!$L$18:$AW$47,1,FALSE)),0,VLOOKUP(M121,'DETAILED MODELLER - PERSON 1'!$L$18:$AW$47,28,FALSE))</f>
        <v>0</v>
      </c>
      <c r="W121" s="223" t="str">
        <f>IF(ISERROR(VLOOKUP(M121,'DETAILED MODELLER - PERSON 1'!$L$18:$AW$47,1,FALSE)),"-",VLOOKUP(M121,'DETAILED MODELLER - PERSON 1'!$L$18:$AW$47,34,FALSE))</f>
        <v>-</v>
      </c>
      <c r="X121" s="223" t="str">
        <f>IF(ISERROR(VLOOKUP(M121,'DETAILED MODELLER - PERSON 1'!$L$18:$AW$47,1,FALSE)),"-",VLOOKUP(M121,'DETAILED MODELLER - PERSON 1'!$L$18:$AW$47,33,FALSE))</f>
        <v>-</v>
      </c>
      <c r="Y121" s="357">
        <f>IF(ISERROR(VLOOKUP(M121,'DETAILED MODELLER - PERSON 1'!$L$18:$AW$47,1,FALSE)),0,VLOOKUP(M121,'DETAILED MODELLER - PERSON 1'!$L$18:$AW$47,35,FALSE))</f>
        <v>0</v>
      </c>
    </row>
    <row r="122" spans="2:25" ht="20" thickBot="1">
      <c r="B122" s="200">
        <f>'DETAILED MODELLER - PERSON 1'!C162</f>
        <v>2046</v>
      </c>
      <c r="C122" s="382">
        <f>'DETAILED MODELLER - PERSON 1'!D47</f>
        <v>91</v>
      </c>
      <c r="D122" s="201">
        <f>'DETAILED MODELLER - PERSON 1'!D162</f>
        <v>0.02</v>
      </c>
      <c r="E122" s="202">
        <f>'DETAILED MODELLER - PERSON 1'!M47</f>
        <v>0</v>
      </c>
      <c r="F122" s="229">
        <f>'DETAILED MODELLER - PERSON 1'!E162</f>
        <v>16041.225314497891</v>
      </c>
      <c r="G122" s="230">
        <f>'DETAILED MODELLER - PERSON 1'!F162</f>
        <v>28203.167837392681</v>
      </c>
      <c r="H122" s="444">
        <f>'DETAILED MODELLER - PERSON 1'!G162</f>
        <v>-12161.942522894789</v>
      </c>
      <c r="I122" s="231">
        <f>'DETAILED MODELLER - PERSON 1'!H162</f>
        <v>3879.2827916031019</v>
      </c>
      <c r="J122" s="447">
        <f>'DETAILED MODELLER - PERSON 1'!I162</f>
        <v>-176708.78994441827</v>
      </c>
      <c r="K122" s="397">
        <f t="shared" si="0"/>
        <v>0.24183207426785824</v>
      </c>
      <c r="M122" s="244">
        <f t="shared" si="1"/>
        <v>2050</v>
      </c>
      <c r="N122" s="257" t="str">
        <f>IF(ISERROR(VLOOKUP(M122,$B$93:$C$122,2,FALSE)),"BEYOND RANGE",VLOOKUP(M122,B122:C158,2,FALSE))</f>
        <v>BEYOND RANGE</v>
      </c>
      <c r="O122" s="223" t="str">
        <f>IF(ISERROR(VLOOKUP(M122,'DETAILED MODELLER - PERSON 1'!$L$18:$AW$47,2,FALSE)),"-",VLOOKUP(M122,'DETAILED MODELLER - PERSON 1'!$L$18:$AW$47,9,FALSE))</f>
        <v>-</v>
      </c>
      <c r="P122" s="234">
        <f>IF(ISERROR(VLOOKUP(M122,'DETAILED MODELLER - PERSON 1'!$L$18:$AW$47,2,FALSE)),0,VLOOKUP(M122,'DETAILED MODELLER - PERSON 1'!$L$18:$AW$47,10,FALSE))</f>
        <v>0</v>
      </c>
      <c r="Q122" s="223" t="str">
        <f>IF(ISERROR(VLOOKUP(M122,'DETAILED MODELLER - PERSON 1'!$L$18:$AW$47,1,FALSE)),"-",VLOOKUP(M122,'DETAILED MODELLER - PERSON 1'!$L$18:$AW$47,15,FALSE))</f>
        <v>-</v>
      </c>
      <c r="R122" s="234">
        <f>IF(ISERROR(VLOOKUP(M122,'DETAILED MODELLER - PERSON 1'!$L$18:$AW$47,1,FALSE)),0,VLOOKUP(M122,'DETAILED MODELLER - PERSON 1'!$L$18:$AW$47,16,FALSE))</f>
        <v>0</v>
      </c>
      <c r="S122" s="223" t="str">
        <f>IF(ISERROR(VLOOKUP(M122,'DETAILED MODELLER - PERSON 1'!$L$18:$AW$47,1,FALSE)),"-",VLOOKUP(M122,'DETAILED MODELLER - PERSON 1'!$L$18:$AW$47,21,FALSE))</f>
        <v>-</v>
      </c>
      <c r="T122" s="462">
        <f>IF(ISERROR(VLOOKUP(M122,'DETAILED MODELLER - PERSON 1'!$L$18:$AW$47,1,FALSE)),0,VLOOKUP(M122,'DETAILED MODELLER - PERSON 1'!$L$18:$AW$47,22,FALSE))</f>
        <v>0</v>
      </c>
      <c r="U122" s="223" t="str">
        <f>IF(ISERROR(VLOOKUP(M122,'DETAILED MODELLER - PERSON 1'!$L$18:$AW$47,1,FALSE)),"-",VLOOKUP(M122,'DETAILED MODELLER - PERSON 1'!$L$18:$AW$47,27,FALSE))</f>
        <v>-</v>
      </c>
      <c r="V122" s="294">
        <f>IF(ISERROR(VLOOKUP(M122,'DETAILED MODELLER - PERSON 1'!$L$18:$AW$47,1,FALSE)),0,VLOOKUP(M122,'DETAILED MODELLER - PERSON 1'!$L$18:$AW$47,28,FALSE))</f>
        <v>0</v>
      </c>
      <c r="W122" s="223" t="str">
        <f>IF(ISERROR(VLOOKUP(M122,'DETAILED MODELLER - PERSON 1'!$L$18:$AW$47,1,FALSE)),"-",VLOOKUP(M122,'DETAILED MODELLER - PERSON 1'!$L$18:$AW$47,34,FALSE))</f>
        <v>-</v>
      </c>
      <c r="X122" s="223" t="str">
        <f>IF(ISERROR(VLOOKUP(M122,'DETAILED MODELLER - PERSON 1'!$L$18:$AW$47,1,FALSE)),"-",VLOOKUP(M122,'DETAILED MODELLER - PERSON 1'!$L$18:$AW$47,33,FALSE))</f>
        <v>-</v>
      </c>
      <c r="Y122" s="461">
        <f>IF(ISERROR(VLOOKUP(M122,'DETAILED MODELLER - PERSON 1'!$L$18:$AW$47,1,FALSE)),0,VLOOKUP(M122,'DETAILED MODELLER - PERSON 1'!$L$18:$AW$47,35,FALSE))</f>
        <v>0</v>
      </c>
    </row>
    <row r="123" spans="2:25" ht="18" customHeight="1">
      <c r="M123" s="160"/>
      <c r="O123" s="233"/>
    </row>
    <row r="124" spans="2:25" ht="30" customHeight="1">
      <c r="L124" s="539" t="s">
        <v>153</v>
      </c>
      <c r="M124" s="539"/>
      <c r="N124" s="539"/>
      <c r="O124" s="539"/>
      <c r="P124" s="539"/>
      <c r="Q124" s="539"/>
      <c r="R124" s="539"/>
      <c r="S124" s="539"/>
      <c r="T124" s="539"/>
      <c r="U124" s="539"/>
      <c r="V124" s="539"/>
      <c r="W124" s="539"/>
      <c r="X124" s="539"/>
      <c r="Y124" s="540"/>
    </row>
    <row r="125" spans="2:25" ht="18" customHeight="1">
      <c r="M125" s="160"/>
      <c r="O125" s="233"/>
    </row>
    <row r="126" spans="2:25" ht="19">
      <c r="C126" s="537" t="s">
        <v>110</v>
      </c>
      <c r="D126" s="537"/>
      <c r="E126" s="538"/>
      <c r="F126" s="193">
        <f>SUM(F93:F123)</f>
        <v>466779.06868980813</v>
      </c>
      <c r="G126" s="245">
        <f>SUM(G93:G123)</f>
        <v>643487.85863422637</v>
      </c>
      <c r="H126" s="448">
        <f>SUM(H93:H122)</f>
        <v>-176708.78994441827</v>
      </c>
      <c r="L126" s="499" t="s">
        <v>110</v>
      </c>
      <c r="M126" s="499"/>
      <c r="N126" s="499"/>
      <c r="O126" s="542"/>
      <c r="P126" s="247">
        <f>'DETAILED MODELLER - PERSON 1'!$V$48</f>
        <v>472548.21369648661</v>
      </c>
      <c r="Q126" s="29"/>
      <c r="R126" s="252">
        <f>'DETAILED MODELLER - PERSON 1'!$AB$48</f>
        <v>521859.11269610259</v>
      </c>
      <c r="S126" s="253"/>
      <c r="T126" s="254">
        <f>'DETAILED MODELLER - PERSON 1'!$AH$48</f>
        <v>520082.6842954582</v>
      </c>
      <c r="U126" s="253"/>
      <c r="V126" s="254">
        <f>'DETAILED MODELLER - PERSON 1'!$AN$48</f>
        <v>538192.90319807653</v>
      </c>
      <c r="W126" s="253"/>
      <c r="X126" s="253"/>
      <c r="Y126" s="255">
        <f>'DETAILED MODELLER - PERSON 1'!$AU$48</f>
        <v>548806.1071030451</v>
      </c>
    </row>
    <row r="127" spans="2:25" ht="16">
      <c r="L127" s="168"/>
      <c r="M127" s="238"/>
      <c r="N127" s="168"/>
      <c r="O127" s="258"/>
      <c r="P127" s="29"/>
      <c r="Q127" s="29"/>
      <c r="R127" s="29"/>
      <c r="S127" s="29"/>
      <c r="T127" s="29"/>
      <c r="U127" s="29"/>
      <c r="V127" s="29"/>
      <c r="W127" s="29"/>
      <c r="X127" s="29"/>
      <c r="Y127" s="29"/>
    </row>
    <row r="128" spans="2:25" ht="18" customHeight="1">
      <c r="C128" s="246" t="s">
        <v>118</v>
      </c>
      <c r="H128" s="264">
        <f>F122/G122</f>
        <v>0.56877388408935792</v>
      </c>
      <c r="L128" s="499" t="s">
        <v>113</v>
      </c>
      <c r="M128" s="499"/>
      <c r="N128" s="499"/>
      <c r="O128" s="542"/>
      <c r="P128" s="248">
        <f>P126-$F$126</f>
        <v>5769.1450066784746</v>
      </c>
      <c r="Q128" s="29"/>
      <c r="R128" s="249">
        <f>R126-$F$126</f>
        <v>55080.044006294454</v>
      </c>
      <c r="S128" s="29"/>
      <c r="T128" s="250">
        <f>T126-$F$126</f>
        <v>53303.615605650062</v>
      </c>
      <c r="U128" s="29"/>
      <c r="V128" s="250">
        <f>V126-$F$126</f>
        <v>71413.834508268395</v>
      </c>
      <c r="W128" s="29"/>
      <c r="X128" s="29"/>
      <c r="Y128" s="251">
        <f>Y126-$F$126</f>
        <v>82027.038413236965</v>
      </c>
    </row>
    <row r="129" spans="4:25" ht="17" customHeight="1">
      <c r="L129" s="168"/>
      <c r="M129" s="168"/>
      <c r="N129" s="168"/>
      <c r="O129" s="168"/>
    </row>
    <row r="130" spans="4:25" ht="19">
      <c r="L130" s="541" t="s">
        <v>116</v>
      </c>
      <c r="M130" s="541"/>
      <c r="N130" s="541"/>
      <c r="O130" s="541"/>
      <c r="P130" s="451">
        <f>$J$122+P128</f>
        <v>-170939.64493773979</v>
      </c>
      <c r="Q130" s="190"/>
      <c r="R130" s="452">
        <f>$J$122+R128</f>
        <v>-121628.74593812381</v>
      </c>
      <c r="S130" s="190"/>
      <c r="T130" s="453">
        <f>$J$122+T128</f>
        <v>-123405.17433876821</v>
      </c>
      <c r="U130" s="190"/>
      <c r="V130" s="453">
        <f>$J$122+V128</f>
        <v>-105294.95543614987</v>
      </c>
      <c r="W130" s="190"/>
      <c r="X130" s="190"/>
      <c r="Y130" s="454">
        <f>$J$122+Y128</f>
        <v>-94681.751531181304</v>
      </c>
    </row>
    <row r="131" spans="4:25" ht="16">
      <c r="L131" s="238"/>
      <c r="M131" s="238"/>
      <c r="N131" s="168"/>
      <c r="O131" s="258"/>
    </row>
    <row r="132" spans="4:25" ht="19">
      <c r="J132" t="s">
        <v>12</v>
      </c>
      <c r="L132" s="541" t="s">
        <v>114</v>
      </c>
      <c r="M132" s="541"/>
      <c r="N132" s="541"/>
      <c r="O132" s="541"/>
      <c r="P132" s="260">
        <f>P128/$J$122*-1</f>
        <v>3.2647753450708895E-2</v>
      </c>
      <c r="Q132" s="190"/>
      <c r="R132" s="261">
        <f>R128/$J$122*-1</f>
        <v>0.3116995143457168</v>
      </c>
      <c r="S132" s="190"/>
      <c r="T132" s="262">
        <f>T128/$J$122*-1</f>
        <v>0.30164665618736963</v>
      </c>
      <c r="U132" s="190"/>
      <c r="V132" s="262">
        <f>V128/$J$122*-1</f>
        <v>0.40413289305376832</v>
      </c>
      <c r="W132" s="190"/>
      <c r="X132" s="190"/>
      <c r="Y132" s="263">
        <f>Y128/$J$122*-1</f>
        <v>0.46419331171379552</v>
      </c>
    </row>
    <row r="133" spans="4:25" ht="16">
      <c r="L133" s="238"/>
      <c r="M133" s="238"/>
      <c r="N133" s="168"/>
      <c r="O133" s="168"/>
    </row>
    <row r="134" spans="4:25" ht="19">
      <c r="J134" t="s">
        <v>12</v>
      </c>
      <c r="L134" s="541" t="s">
        <v>115</v>
      </c>
      <c r="M134" s="541"/>
      <c r="N134" s="541"/>
      <c r="O134" s="541"/>
      <c r="P134" s="266">
        <f>SUM(P93:P123)</f>
        <v>1287.097464052508</v>
      </c>
      <c r="Q134" s="235"/>
      <c r="R134" s="267">
        <f>SUM(R93:R123)</f>
        <v>5003.743046679193</v>
      </c>
      <c r="S134" s="235"/>
      <c r="T134" s="268">
        <f>SUM(T93:T123)</f>
        <v>5024.3109909220493</v>
      </c>
      <c r="U134" s="235"/>
      <c r="V134" s="268">
        <f>SUM(V93:V123)</f>
        <v>6500.3605662321743</v>
      </c>
      <c r="W134" s="235"/>
      <c r="X134" s="235"/>
      <c r="Y134" s="269">
        <f>SUM(Y93:Y123)</f>
        <v>6405.6530418779521</v>
      </c>
    </row>
    <row r="135" spans="4:25" ht="19">
      <c r="J135" t="s">
        <v>12</v>
      </c>
      <c r="L135" s="168"/>
      <c r="M135" s="237"/>
      <c r="N135" s="168"/>
      <c r="O135" s="258"/>
      <c r="P135" s="37"/>
      <c r="Q135" s="37"/>
      <c r="R135" s="37"/>
      <c r="S135" s="37"/>
      <c r="T135" s="37"/>
      <c r="U135" s="37"/>
      <c r="V135" s="37"/>
      <c r="W135" s="37"/>
      <c r="X135" s="37"/>
      <c r="Y135" s="37"/>
    </row>
    <row r="136" spans="4:25" ht="19">
      <c r="J136" t="s">
        <v>12</v>
      </c>
      <c r="L136" s="541" t="s">
        <v>112</v>
      </c>
      <c r="M136" s="541"/>
      <c r="N136" s="541"/>
      <c r="O136" s="542"/>
      <c r="P136" s="266">
        <f>'DETAILED MODELLER - PERSON 1'!V47</f>
        <v>16474.748800374869</v>
      </c>
      <c r="Q136" s="235"/>
      <c r="R136" s="267">
        <f>'DETAILED MODELLER - PERSON 1'!AB47</f>
        <v>20191.394383001556</v>
      </c>
      <c r="S136" s="235"/>
      <c r="T136" s="268">
        <f>'DETAILED MODELLER - PERSON 1'!AH47</f>
        <v>20211.962327244411</v>
      </c>
      <c r="U136" s="235"/>
      <c r="V136" s="268">
        <f>'DETAILED MODELLER - PERSON 1'!AN47</f>
        <v>21688.011902554539</v>
      </c>
      <c r="W136" s="235"/>
      <c r="X136" s="235"/>
      <c r="Y136" s="269">
        <f>'DETAILED MODELLER - PERSON 1'!AU47</f>
        <v>21593.304378200308</v>
      </c>
    </row>
    <row r="137" spans="4:25" ht="19">
      <c r="J137" t="s">
        <v>12</v>
      </c>
      <c r="L137" s="238"/>
      <c r="M137" s="238"/>
      <c r="N137" s="168"/>
      <c r="O137" s="258"/>
      <c r="P137" s="37"/>
      <c r="Q137" s="37"/>
      <c r="R137" s="37"/>
      <c r="S137" s="37"/>
      <c r="T137" s="37"/>
      <c r="U137" s="37"/>
      <c r="V137" s="37"/>
      <c r="W137" s="37"/>
      <c r="X137" s="37"/>
      <c r="Y137" s="37"/>
    </row>
    <row r="138" spans="4:25" ht="19">
      <c r="D138" s="246"/>
      <c r="E138" s="246"/>
      <c r="F138" s="246"/>
      <c r="L138" s="541" t="s">
        <v>117</v>
      </c>
      <c r="M138" s="541"/>
      <c r="N138" s="541"/>
      <c r="O138" s="541"/>
      <c r="P138" s="265">
        <f>P136/G122</f>
        <v>0.58414533060119966</v>
      </c>
      <c r="Q138" s="19"/>
      <c r="R138" s="265">
        <f>R136/G122</f>
        <v>0.71592646965817597</v>
      </c>
      <c r="S138" s="162"/>
      <c r="T138" s="265">
        <f>T136/G122</f>
        <v>0.71665574745992655</v>
      </c>
      <c r="U138" s="162"/>
      <c r="V138" s="265">
        <f>V136/G122</f>
        <v>0.76899205180064434</v>
      </c>
      <c r="W138" s="162"/>
      <c r="X138" s="162"/>
      <c r="Y138" s="265">
        <f>Y136/G122</f>
        <v>0.76563400617611477</v>
      </c>
    </row>
    <row r="142" spans="4:25" ht="19">
      <c r="P142" s="37"/>
      <c r="Q142" s="37"/>
      <c r="R142" s="37"/>
      <c r="S142" s="37"/>
      <c r="T142" s="37"/>
      <c r="U142" s="37"/>
      <c r="V142" s="37"/>
      <c r="W142" s="37"/>
      <c r="X142" s="37"/>
    </row>
    <row r="156" spans="6:14" ht="19">
      <c r="F156" s="37"/>
      <c r="G156" s="37"/>
      <c r="H156" s="37"/>
      <c r="I156" s="37"/>
      <c r="J156" s="37"/>
      <c r="K156" s="37"/>
      <c r="L156" s="37"/>
      <c r="M156" s="195"/>
      <c r="N156" s="37"/>
    </row>
  </sheetData>
  <mergeCells count="91">
    <mergeCell ref="B25:K25"/>
    <mergeCell ref="B47:K47"/>
    <mergeCell ref="B33:K33"/>
    <mergeCell ref="B36:K36"/>
    <mergeCell ref="B29:K29"/>
    <mergeCell ref="B30:K30"/>
    <mergeCell ref="B27:U27"/>
    <mergeCell ref="B45:K45"/>
    <mergeCell ref="N45:U45"/>
    <mergeCell ref="B44:K44"/>
    <mergeCell ref="N29:U29"/>
    <mergeCell ref="B38:U38"/>
    <mergeCell ref="B42:K42"/>
    <mergeCell ref="N42:U42"/>
    <mergeCell ref="N24:U26"/>
    <mergeCell ref="M64:N64"/>
    <mergeCell ref="U64:V64"/>
    <mergeCell ref="S64:T64"/>
    <mergeCell ref="O64:P64"/>
    <mergeCell ref="N15:S15"/>
    <mergeCell ref="M20:T22"/>
    <mergeCell ref="M17:S17"/>
    <mergeCell ref="M18:T18"/>
    <mergeCell ref="B53:U53"/>
    <mergeCell ref="C19:K19"/>
    <mergeCell ref="C17:I17"/>
    <mergeCell ref="N50:R50"/>
    <mergeCell ref="B49:K49"/>
    <mergeCell ref="D54:S54"/>
    <mergeCell ref="B24:K24"/>
    <mergeCell ref="D58:S58"/>
    <mergeCell ref="B2:U2"/>
    <mergeCell ref="M6:P6"/>
    <mergeCell ref="O9:P9"/>
    <mergeCell ref="O10:P10"/>
    <mergeCell ref="O11:P11"/>
    <mergeCell ref="B6:K6"/>
    <mergeCell ref="B9:K9"/>
    <mergeCell ref="B10:K10"/>
    <mergeCell ref="B8:K8"/>
    <mergeCell ref="C4:S4"/>
    <mergeCell ref="L138:O138"/>
    <mergeCell ref="L132:O132"/>
    <mergeCell ref="L126:O126"/>
    <mergeCell ref="L136:O136"/>
    <mergeCell ref="L128:O128"/>
    <mergeCell ref="L130:O130"/>
    <mergeCell ref="L134:O134"/>
    <mergeCell ref="C126:E126"/>
    <mergeCell ref="W91:Y91"/>
    <mergeCell ref="O91:P91"/>
    <mergeCell ref="Q91:R91"/>
    <mergeCell ref="S91:T91"/>
    <mergeCell ref="U91:V91"/>
    <mergeCell ref="L124:Y124"/>
    <mergeCell ref="O86:Y87"/>
    <mergeCell ref="B86:K90"/>
    <mergeCell ref="B84:K84"/>
    <mergeCell ref="M84:Y84"/>
    <mergeCell ref="M62:N63"/>
    <mergeCell ref="O62:P63"/>
    <mergeCell ref="Q62:R63"/>
    <mergeCell ref="S62:T63"/>
    <mergeCell ref="O90:Y90"/>
    <mergeCell ref="U88:V89"/>
    <mergeCell ref="W88:Y89"/>
    <mergeCell ref="O88:P89"/>
    <mergeCell ref="Q88:R89"/>
    <mergeCell ref="S88:T89"/>
    <mergeCell ref="B62:K64"/>
    <mergeCell ref="Q64:R64"/>
    <mergeCell ref="M60:V61"/>
    <mergeCell ref="U62:V63"/>
    <mergeCell ref="B31:K31"/>
    <mergeCell ref="N31:U31"/>
    <mergeCell ref="B40:K40"/>
    <mergeCell ref="B41:K41"/>
    <mergeCell ref="N36:U36"/>
    <mergeCell ref="B34:K34"/>
    <mergeCell ref="N34:U34"/>
    <mergeCell ref="B60:K61"/>
    <mergeCell ref="E56:K56"/>
    <mergeCell ref="B12:K12"/>
    <mergeCell ref="B13:K13"/>
    <mergeCell ref="B15:K15"/>
    <mergeCell ref="B23:U23"/>
    <mergeCell ref="O12:P12"/>
    <mergeCell ref="O13:P13"/>
    <mergeCell ref="C18:I18"/>
    <mergeCell ref="C20:K22"/>
    <mergeCell ref="H14:K14"/>
  </mergeCells>
  <conditionalFormatting sqref="O93:O122">
    <cfRule type="cellIs" dxfId="171" priority="148" operator="greaterThan">
      <formula>0</formula>
    </cfRule>
    <cfRule type="cellIs" dxfId="170" priority="149" operator="equal">
      <formula>0</formula>
    </cfRule>
  </conditionalFormatting>
  <conditionalFormatting sqref="H93:H122">
    <cfRule type="cellIs" dxfId="169" priority="138" operator="lessThan">
      <formula>0</formula>
    </cfRule>
  </conditionalFormatting>
  <conditionalFormatting sqref="B93:B122">
    <cfRule type="cellIs" dxfId="168" priority="819" operator="equal">
      <formula>$R$6</formula>
    </cfRule>
    <cfRule type="cellIs" dxfId="167" priority="820" operator="greaterThan">
      <formula>$R$6</formula>
    </cfRule>
    <cfRule type="cellIs" dxfId="166" priority="821" operator="lessThan">
      <formula>$R$6</formula>
    </cfRule>
  </conditionalFormatting>
  <conditionalFormatting sqref="Q93">
    <cfRule type="cellIs" dxfId="165" priority="136" operator="greaterThan">
      <formula>0</formula>
    </cfRule>
    <cfRule type="cellIs" dxfId="164" priority="137" operator="equal">
      <formula>0</formula>
    </cfRule>
  </conditionalFormatting>
  <conditionalFormatting sqref="S93">
    <cfRule type="cellIs" dxfId="163" priority="134" operator="greaterThan">
      <formula>0</formula>
    </cfRule>
    <cfRule type="cellIs" dxfId="162" priority="135" operator="equal">
      <formula>0</formula>
    </cfRule>
  </conditionalFormatting>
  <conditionalFormatting sqref="U93">
    <cfRule type="cellIs" dxfId="161" priority="132" operator="greaterThan">
      <formula>0</formula>
    </cfRule>
    <cfRule type="cellIs" dxfId="160" priority="133" operator="equal">
      <formula>0</formula>
    </cfRule>
  </conditionalFormatting>
  <conditionalFormatting sqref="W93">
    <cfRule type="cellIs" dxfId="159" priority="130" operator="greaterThan">
      <formula>0</formula>
    </cfRule>
    <cfRule type="cellIs" dxfId="158" priority="131" operator="equal">
      <formula>0</formula>
    </cfRule>
  </conditionalFormatting>
  <conditionalFormatting sqref="X93">
    <cfRule type="cellIs" dxfId="157" priority="92" operator="greaterThan">
      <formula>0</formula>
    </cfRule>
    <cfRule type="cellIs" dxfId="156" priority="93" operator="equal">
      <formula>0</formula>
    </cfRule>
  </conditionalFormatting>
  <conditionalFormatting sqref="Y122">
    <cfRule type="cellIs" dxfId="155" priority="74" operator="greaterThan">
      <formula>0</formula>
    </cfRule>
    <cfRule type="cellIs" dxfId="154" priority="75" operator="equal">
      <formula>0</formula>
    </cfRule>
  </conditionalFormatting>
  <conditionalFormatting sqref="H126">
    <cfRule type="cellIs" dxfId="153" priority="73" operator="lessThan">
      <formula>0</formula>
    </cfRule>
  </conditionalFormatting>
  <conditionalFormatting sqref="J69:K69">
    <cfRule type="cellIs" dxfId="152" priority="32" operator="lessThan">
      <formula>0</formula>
    </cfRule>
  </conditionalFormatting>
  <conditionalFormatting sqref="J71:K71">
    <cfRule type="cellIs" dxfId="151" priority="31" operator="lessThan">
      <formula>0</formula>
    </cfRule>
  </conditionalFormatting>
  <conditionalFormatting sqref="J73:K73">
    <cfRule type="cellIs" dxfId="150" priority="30" operator="lessThan">
      <formula>0</formula>
    </cfRule>
  </conditionalFormatting>
  <conditionalFormatting sqref="J75:K75">
    <cfRule type="cellIs" dxfId="149" priority="29" operator="lessThan">
      <formula>0</formula>
    </cfRule>
  </conditionalFormatting>
  <conditionalFormatting sqref="J77:K77">
    <cfRule type="cellIs" dxfId="148" priority="28" operator="lessThan">
      <formula>0</formula>
    </cfRule>
  </conditionalFormatting>
  <conditionalFormatting sqref="J79:K79">
    <cfRule type="cellIs" dxfId="147" priority="27" operator="lessThan">
      <formula>0</formula>
    </cfRule>
  </conditionalFormatting>
  <conditionalFormatting sqref="J81:K81">
    <cfRule type="cellIs" dxfId="146" priority="26" operator="lessThan">
      <formula>0</formula>
    </cfRule>
  </conditionalFormatting>
  <conditionalFormatting sqref="M47">
    <cfRule type="cellIs" dxfId="145" priority="25" operator="lessThan">
      <formula>0</formula>
    </cfRule>
  </conditionalFormatting>
  <conditionalFormatting sqref="M36">
    <cfRule type="cellIs" dxfId="144" priority="24" operator="lessThan">
      <formula>0</formula>
    </cfRule>
  </conditionalFormatting>
  <conditionalFormatting sqref="J93:J122">
    <cfRule type="cellIs" dxfId="143" priority="23" operator="lessThan">
      <formula>0</formula>
    </cfRule>
  </conditionalFormatting>
  <conditionalFormatting sqref="P122">
    <cfRule type="cellIs" dxfId="142" priority="21" operator="greaterThan">
      <formula>0</formula>
    </cfRule>
    <cfRule type="cellIs" dxfId="141" priority="22" operator="equal">
      <formula>0</formula>
    </cfRule>
  </conditionalFormatting>
  <conditionalFormatting sqref="Q94:Q122">
    <cfRule type="cellIs" dxfId="140" priority="19" operator="greaterThan">
      <formula>0</formula>
    </cfRule>
    <cfRule type="cellIs" dxfId="139" priority="20" operator="equal">
      <formula>0</formula>
    </cfRule>
  </conditionalFormatting>
  <conditionalFormatting sqref="R122">
    <cfRule type="cellIs" dxfId="138" priority="17" operator="greaterThan">
      <formula>0</formula>
    </cfRule>
    <cfRule type="cellIs" dxfId="137" priority="18" operator="equal">
      <formula>0</formula>
    </cfRule>
  </conditionalFormatting>
  <conditionalFormatting sqref="S94:S122">
    <cfRule type="cellIs" dxfId="136" priority="15" operator="greaterThan">
      <formula>0</formula>
    </cfRule>
    <cfRule type="cellIs" dxfId="135" priority="16" operator="equal">
      <formula>0</formula>
    </cfRule>
  </conditionalFormatting>
  <conditionalFormatting sqref="T122">
    <cfRule type="cellIs" dxfId="134" priority="13" operator="greaterThan">
      <formula>0</formula>
    </cfRule>
    <cfRule type="cellIs" dxfId="133" priority="14" operator="equal">
      <formula>0</formula>
    </cfRule>
  </conditionalFormatting>
  <conditionalFormatting sqref="U94:U122">
    <cfRule type="cellIs" dxfId="132" priority="11" operator="greaterThan">
      <formula>0</formula>
    </cfRule>
    <cfRule type="cellIs" dxfId="131" priority="12" operator="equal">
      <formula>0</formula>
    </cfRule>
  </conditionalFormatting>
  <conditionalFormatting sqref="V122">
    <cfRule type="cellIs" dxfId="130" priority="9" operator="greaterThan">
      <formula>0</formula>
    </cfRule>
    <cfRule type="cellIs" dxfId="129" priority="10" operator="equal">
      <formula>0</formula>
    </cfRule>
  </conditionalFormatting>
  <conditionalFormatting sqref="W94:W122">
    <cfRule type="cellIs" dxfId="128" priority="7" operator="greaterThan">
      <formula>0</formula>
    </cfRule>
    <cfRule type="cellIs" dxfId="127" priority="8" operator="equal">
      <formula>0</formula>
    </cfRule>
  </conditionalFormatting>
  <conditionalFormatting sqref="X94:X122">
    <cfRule type="cellIs" dxfId="126" priority="5" operator="greaterThan">
      <formula>0</formula>
    </cfRule>
    <cfRule type="cellIs" dxfId="125" priority="6" operator="equal">
      <formula>0</formula>
    </cfRule>
  </conditionalFormatting>
  <conditionalFormatting sqref="M30">
    <cfRule type="cellIs" dxfId="124" priority="1"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38461-4960-8742-A4DB-C5CD42BEAD7A}">
  <dimension ref="A1"/>
  <sheetViews>
    <sheetView zoomScale="80" zoomScaleNormal="80" workbookViewId="0">
      <selection activeCell="A2" sqref="A2"/>
    </sheetView>
  </sheetViews>
  <sheetFormatPr baseColWidth="10" defaultRowHeight="15"/>
  <cols>
    <col min="1" max="1" width="5.1640625" customWidth="1"/>
  </cols>
  <sheetData/>
  <sheetProtection algorithmName="SHA-512" hashValue="e9yjv3ACXN6p96kqfRMz+kRatAdeIIbaPoSX0OfXMyYJKIcfAURvfOakf5QHswsgd8y/k4pF4EXzutHzfX7XWQ==" saltValue="hwhGWgjP9I4AsJ+ePxb4/w=="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7875D-E49D-4489-80D5-C3380E68B33A}">
  <dimension ref="B1:CA162"/>
  <sheetViews>
    <sheetView topLeftCell="AM1" zoomScale="70" zoomScaleNormal="70" workbookViewId="0">
      <selection activeCell="M18" sqref="M18"/>
    </sheetView>
  </sheetViews>
  <sheetFormatPr baseColWidth="10" defaultColWidth="8.83203125" defaultRowHeight="15"/>
  <cols>
    <col min="1" max="1" width="2.6640625" customWidth="1"/>
    <col min="2" max="2" width="14" customWidth="1"/>
    <col min="3" max="4" width="11.83203125" customWidth="1"/>
    <col min="5" max="5" width="11.33203125" customWidth="1"/>
    <col min="6" max="6" width="13.33203125" customWidth="1"/>
    <col min="7" max="7" width="10.5" customWidth="1"/>
    <col min="8" max="8" width="11" customWidth="1"/>
    <col min="9" max="18" width="13.33203125" customWidth="1"/>
    <col min="19" max="19" width="12.6640625" customWidth="1"/>
    <col min="20" max="20" width="9.33203125" customWidth="1"/>
    <col min="21" max="21" width="8.83203125" customWidth="1"/>
    <col min="22" max="23" width="9.6640625" customWidth="1"/>
    <col min="24" max="24" width="10" customWidth="1"/>
    <col min="25" max="25" width="10.1640625" customWidth="1"/>
    <col min="26" max="26" width="14.1640625" customWidth="1"/>
    <col min="27" max="27" width="8.83203125" customWidth="1"/>
    <col min="28" max="28" width="9" customWidth="1"/>
    <col min="29" max="30" width="9.33203125" customWidth="1"/>
    <col min="31" max="31" width="9.6640625" customWidth="1"/>
    <col min="32" max="32" width="9.5" customWidth="1"/>
    <col min="33" max="33" width="11.33203125" customWidth="1"/>
    <col min="34" max="34" width="9.83203125" customWidth="1"/>
    <col min="35" max="35" width="9.33203125" customWidth="1"/>
    <col min="36" max="36" width="9" customWidth="1"/>
    <col min="37" max="37" width="9.33203125" customWidth="1"/>
    <col min="38" max="38" width="15" customWidth="1"/>
    <col min="39" max="39" width="8.6640625" customWidth="1"/>
    <col min="40" max="40" width="9.1640625" customWidth="1"/>
    <col min="41" max="41" width="10.83203125" customWidth="1"/>
    <col min="42" max="42" width="10.1640625" customWidth="1"/>
    <col min="43" max="43" width="11.1640625" customWidth="1"/>
    <col min="44" max="44" width="11.5" customWidth="1"/>
    <col min="45" max="45" width="9.33203125" customWidth="1"/>
    <col min="46" max="46" width="11.83203125" customWidth="1"/>
    <col min="47" max="47" width="10" customWidth="1"/>
    <col min="48" max="48" width="8.83203125" customWidth="1"/>
    <col min="49" max="49" width="11.5" customWidth="1"/>
    <col min="50" max="50" width="3.1640625" customWidth="1"/>
    <col min="51" max="51" width="10.33203125" customWidth="1"/>
    <col min="52" max="52" width="11.1640625" customWidth="1"/>
    <col min="53" max="53" width="9.33203125" customWidth="1"/>
    <col min="54" max="54" width="8.83203125" customWidth="1"/>
    <col min="55" max="55" width="12.6640625" customWidth="1"/>
    <col min="56" max="56" width="9" customWidth="1"/>
    <col min="74" max="74" width="10" customWidth="1"/>
    <col min="75" max="75" width="10.5" customWidth="1"/>
    <col min="76" max="76" width="11" customWidth="1"/>
    <col min="77" max="77" width="10.6640625" customWidth="1"/>
    <col min="78" max="78" width="11.5" customWidth="1"/>
  </cols>
  <sheetData>
    <row r="1" spans="2:79" ht="16" thickBot="1"/>
    <row r="2" spans="2:79" ht="25" thickBot="1">
      <c r="E2" s="641" t="s">
        <v>14</v>
      </c>
      <c r="F2" s="642"/>
      <c r="G2" s="642"/>
      <c r="H2" s="642"/>
      <c r="I2" s="643"/>
      <c r="J2" s="358"/>
      <c r="K2" s="358"/>
      <c r="L2" s="358"/>
      <c r="M2" s="358"/>
      <c r="N2" s="358"/>
      <c r="O2" s="358"/>
      <c r="P2" s="358"/>
      <c r="Q2" s="291" t="s">
        <v>154</v>
      </c>
      <c r="R2" s="291"/>
    </row>
    <row r="3" spans="2:79" ht="16" thickBot="1"/>
    <row r="4" spans="2:79" ht="40" customHeight="1" thickBot="1">
      <c r="E4" s="650" t="s">
        <v>15</v>
      </c>
      <c r="F4" s="651"/>
      <c r="G4" s="651"/>
      <c r="H4" s="651"/>
      <c r="I4" s="651"/>
      <c r="J4" s="651"/>
      <c r="K4" s="651"/>
      <c r="L4" s="651"/>
      <c r="M4" s="651"/>
      <c r="N4" s="651"/>
      <c r="O4" s="651"/>
      <c r="P4" s="651"/>
      <c r="Q4" s="651"/>
      <c r="R4" s="651"/>
      <c r="S4" s="651"/>
      <c r="T4" s="652"/>
    </row>
    <row r="5" spans="2:79" ht="40" customHeight="1">
      <c r="E5" s="44"/>
      <c r="F5" s="44"/>
      <c r="G5" s="44"/>
      <c r="H5" s="44"/>
      <c r="I5" s="44"/>
      <c r="J5" s="44"/>
      <c r="K5" s="44"/>
      <c r="L5" s="44"/>
      <c r="M5" s="44"/>
      <c r="N5" s="44"/>
      <c r="O5" s="44"/>
      <c r="P5" s="44"/>
      <c r="Q5" s="44"/>
      <c r="R5" s="44"/>
      <c r="S5" s="44"/>
      <c r="T5" s="44"/>
      <c r="U5" s="39"/>
      <c r="V5" s="39"/>
      <c r="W5" s="39"/>
      <c r="X5" s="39"/>
      <c r="Y5" s="39"/>
      <c r="Z5" s="39"/>
      <c r="AA5" s="39"/>
      <c r="AB5" s="43"/>
      <c r="AC5" s="43"/>
      <c r="AD5" s="43"/>
      <c r="AE5" s="43"/>
    </row>
    <row r="6" spans="2:79" ht="19">
      <c r="E6" s="60" t="s">
        <v>16</v>
      </c>
      <c r="F6" s="60" t="s">
        <v>17</v>
      </c>
      <c r="G6" s="60"/>
      <c r="H6" s="60">
        <v>81</v>
      </c>
      <c r="I6" s="61" t="s">
        <v>19</v>
      </c>
      <c r="K6" s="458" t="s">
        <v>256</v>
      </c>
      <c r="L6" s="459"/>
      <c r="M6" s="459"/>
      <c r="N6" s="130">
        <f>'MASTER SUMMARY'!M12</f>
        <v>2017</v>
      </c>
      <c r="P6" s="460" t="s">
        <v>32</v>
      </c>
      <c r="Q6" s="417">
        <v>2021</v>
      </c>
      <c r="S6" s="2"/>
      <c r="T6" s="635" t="s">
        <v>32</v>
      </c>
      <c r="U6" s="635"/>
      <c r="V6" s="130">
        <f>IF(N6&gt;Q6,N6,Q6)</f>
        <v>2021</v>
      </c>
      <c r="W6" s="29" t="s">
        <v>257</v>
      </c>
    </row>
    <row r="7" spans="2:79">
      <c r="E7" s="60"/>
      <c r="F7" s="60" t="s">
        <v>18</v>
      </c>
      <c r="G7" s="60"/>
      <c r="H7" s="60">
        <v>84</v>
      </c>
      <c r="I7" s="61" t="s">
        <v>19</v>
      </c>
      <c r="S7" s="2"/>
      <c r="T7" s="2"/>
      <c r="AJ7" s="38">
        <f>H52*G19</f>
        <v>63.157894736842103</v>
      </c>
    </row>
    <row r="8" spans="2:79">
      <c r="S8" s="2"/>
      <c r="T8" s="2"/>
    </row>
    <row r="9" spans="2:79" ht="19">
      <c r="E9" s="19" t="s">
        <v>11</v>
      </c>
      <c r="S9" s="2"/>
      <c r="T9" s="2"/>
      <c r="AG9" s="38">
        <f>O18+(O18/100*G52)</f>
        <v>15056.885318559556</v>
      </c>
    </row>
    <row r="10" spans="2:79" ht="16" thickBot="1">
      <c r="S10" s="2"/>
      <c r="T10" s="2"/>
      <c r="AA10" s="603"/>
      <c r="AB10" s="603"/>
      <c r="AC10" s="603"/>
      <c r="AD10" s="603"/>
      <c r="AE10" s="603"/>
      <c r="AG10" s="603"/>
      <c r="AH10" s="603"/>
      <c r="AI10" s="603"/>
      <c r="AJ10" s="603"/>
      <c r="AK10" s="603"/>
      <c r="AY10">
        <v>1</v>
      </c>
      <c r="AZ10" s="36">
        <f>AY10+1</f>
        <v>2</v>
      </c>
      <c r="BA10" s="36">
        <f t="shared" ref="BA10:BS10" si="0">AZ10+1</f>
        <v>3</v>
      </c>
      <c r="BB10" s="36">
        <f t="shared" si="0"/>
        <v>4</v>
      </c>
      <c r="BC10" s="36">
        <f t="shared" si="0"/>
        <v>5</v>
      </c>
      <c r="BD10" s="36">
        <f t="shared" si="0"/>
        <v>6</v>
      </c>
      <c r="BE10" s="36">
        <f t="shared" si="0"/>
        <v>7</v>
      </c>
      <c r="BF10" s="36">
        <f t="shared" si="0"/>
        <v>8</v>
      </c>
      <c r="BG10" s="36">
        <f t="shared" si="0"/>
        <v>9</v>
      </c>
      <c r="BH10" s="36">
        <f t="shared" si="0"/>
        <v>10</v>
      </c>
      <c r="BI10" s="36">
        <f t="shared" si="0"/>
        <v>11</v>
      </c>
      <c r="BJ10" s="36">
        <f t="shared" si="0"/>
        <v>12</v>
      </c>
      <c r="BK10" s="36">
        <f t="shared" si="0"/>
        <v>13</v>
      </c>
      <c r="BL10" s="36">
        <f t="shared" si="0"/>
        <v>14</v>
      </c>
      <c r="BM10" s="36">
        <f t="shared" si="0"/>
        <v>15</v>
      </c>
      <c r="BN10" s="36">
        <f t="shared" si="0"/>
        <v>16</v>
      </c>
      <c r="BO10" s="36">
        <f t="shared" si="0"/>
        <v>17</v>
      </c>
      <c r="BP10" s="36">
        <f t="shared" si="0"/>
        <v>18</v>
      </c>
      <c r="BQ10" s="36">
        <f t="shared" si="0"/>
        <v>19</v>
      </c>
      <c r="BR10" s="36">
        <f t="shared" si="0"/>
        <v>20</v>
      </c>
      <c r="BS10" s="36">
        <f t="shared" si="0"/>
        <v>21</v>
      </c>
    </row>
    <row r="11" spans="2:79" ht="37" customHeight="1" thickBot="1">
      <c r="C11" s="608" t="s">
        <v>201</v>
      </c>
      <c r="D11" s="608"/>
      <c r="E11" s="608"/>
      <c r="F11" s="608"/>
      <c r="G11" s="608"/>
      <c r="H11" s="629" t="s">
        <v>202</v>
      </c>
      <c r="I11" s="630"/>
      <c r="J11" s="558" t="s">
        <v>78</v>
      </c>
      <c r="K11" s="559"/>
      <c r="L11" s="16"/>
      <c r="M11" s="644" t="s">
        <v>35</v>
      </c>
      <c r="N11" s="645"/>
      <c r="O11" s="645"/>
      <c r="P11" s="645"/>
      <c r="Q11" s="645"/>
      <c r="R11" s="646"/>
      <c r="S11" s="1"/>
      <c r="T11" s="647" t="s">
        <v>165</v>
      </c>
      <c r="U11" s="648"/>
      <c r="V11" s="648"/>
      <c r="W11" s="648"/>
      <c r="X11" s="649"/>
      <c r="Y11" s="1"/>
      <c r="Z11" s="605" t="s">
        <v>166</v>
      </c>
      <c r="AA11" s="606"/>
      <c r="AB11" s="606"/>
      <c r="AC11" s="606"/>
      <c r="AD11" s="607"/>
      <c r="AE11" s="1"/>
      <c r="AF11" s="620" t="s">
        <v>167</v>
      </c>
      <c r="AG11" s="621"/>
      <c r="AH11" s="621"/>
      <c r="AI11" s="621"/>
      <c r="AJ11" s="622"/>
      <c r="AK11" s="1"/>
      <c r="AL11" s="612" t="s">
        <v>168</v>
      </c>
      <c r="AM11" s="613"/>
      <c r="AN11" s="613"/>
      <c r="AO11" s="613"/>
      <c r="AP11" s="614"/>
      <c r="AR11" s="612" t="s">
        <v>169</v>
      </c>
      <c r="AS11" s="613"/>
      <c r="AT11" s="613"/>
      <c r="AU11" s="613"/>
      <c r="AV11" s="613"/>
      <c r="AW11" s="614"/>
      <c r="AZ11" s="604" t="s">
        <v>176</v>
      </c>
      <c r="BA11" s="604"/>
      <c r="BB11" s="604"/>
      <c r="BC11" s="604"/>
      <c r="BD11" s="604" t="s">
        <v>172</v>
      </c>
      <c r="BE11" s="604"/>
      <c r="BF11" s="604"/>
      <c r="BG11" s="604"/>
      <c r="BH11" s="604" t="s">
        <v>173</v>
      </c>
      <c r="BI11" s="604"/>
      <c r="BJ11" s="604"/>
      <c r="BK11" s="604"/>
      <c r="BL11" s="604" t="s">
        <v>174</v>
      </c>
      <c r="BM11" s="604"/>
      <c r="BN11" s="604"/>
      <c r="BO11" s="604"/>
      <c r="BP11" s="604" t="s">
        <v>175</v>
      </c>
      <c r="BQ11" s="604"/>
      <c r="BR11" s="604"/>
      <c r="BS11" s="604"/>
      <c r="BU11" s="381"/>
      <c r="BV11" s="633" t="s">
        <v>203</v>
      </c>
      <c r="BW11" s="633"/>
      <c r="BX11" s="633"/>
      <c r="BY11" s="633"/>
      <c r="BZ11" s="633"/>
      <c r="CA11" s="359"/>
    </row>
    <row r="12" spans="2:79" ht="37" customHeight="1" thickBot="1">
      <c r="C12" s="609"/>
      <c r="D12" s="609"/>
      <c r="E12" s="609"/>
      <c r="F12" s="609"/>
      <c r="G12" s="609"/>
      <c r="H12" s="631" t="s">
        <v>204</v>
      </c>
      <c r="I12" s="632"/>
      <c r="J12" s="352"/>
      <c r="K12" s="353"/>
      <c r="L12" s="16"/>
      <c r="M12" s="365"/>
      <c r="N12" s="365"/>
      <c r="O12" s="365"/>
      <c r="P12" s="365"/>
      <c r="Q12" s="365"/>
      <c r="R12" s="365"/>
      <c r="S12" s="1"/>
      <c r="T12" s="366"/>
      <c r="U12" s="366"/>
      <c r="V12" s="366"/>
      <c r="W12" s="366"/>
      <c r="X12" s="366"/>
      <c r="Y12" s="1"/>
      <c r="Z12" s="367"/>
      <c r="AA12" s="367"/>
      <c r="AB12" s="367"/>
      <c r="AC12" s="367"/>
      <c r="AD12" s="367"/>
      <c r="AE12" s="1"/>
      <c r="AF12" s="368"/>
      <c r="AG12" s="368"/>
      <c r="AH12" s="368"/>
      <c r="AI12" s="368"/>
      <c r="AJ12" s="368"/>
      <c r="AK12" s="1"/>
      <c r="AL12" s="369"/>
      <c r="AM12" s="369"/>
      <c r="AN12" s="369"/>
      <c r="AO12" s="369"/>
      <c r="AP12" s="369"/>
      <c r="AR12" s="354"/>
      <c r="AS12" s="369"/>
      <c r="AT12" s="369"/>
      <c r="AU12" s="369"/>
      <c r="AV12" s="369"/>
      <c r="AW12" s="369"/>
      <c r="AZ12" s="355"/>
      <c r="BA12" s="355"/>
      <c r="BB12" s="355"/>
      <c r="BC12" s="355"/>
      <c r="BD12" s="355"/>
      <c r="BE12" s="355"/>
      <c r="BF12" s="355"/>
      <c r="BG12" s="355"/>
      <c r="BH12" s="355"/>
      <c r="BI12" s="355"/>
      <c r="BJ12" s="355"/>
      <c r="BK12" s="355"/>
      <c r="BL12" s="355"/>
      <c r="BM12" s="355"/>
      <c r="BN12" s="355"/>
      <c r="BO12" s="355"/>
      <c r="BP12" s="355"/>
      <c r="BQ12" s="355"/>
      <c r="BR12" s="355"/>
      <c r="BS12" s="355"/>
      <c r="BU12" s="359"/>
      <c r="BV12" s="631">
        <v>1</v>
      </c>
      <c r="BW12" s="632"/>
      <c r="BX12" s="634">
        <v>2</v>
      </c>
      <c r="BY12" s="634"/>
      <c r="BZ12" s="634"/>
      <c r="CA12" s="359"/>
    </row>
    <row r="13" spans="2:79" ht="37" customHeight="1" thickBot="1">
      <c r="C13" s="610"/>
      <c r="D13" s="610"/>
      <c r="E13" s="610"/>
      <c r="F13" s="610"/>
      <c r="G13" s="610"/>
      <c r="H13" s="623">
        <v>1</v>
      </c>
      <c r="I13" s="624"/>
      <c r="J13" s="352"/>
      <c r="K13" s="353"/>
      <c r="L13" s="16"/>
      <c r="M13" s="365"/>
      <c r="N13" s="365"/>
      <c r="O13" s="365"/>
      <c r="P13" s="365"/>
      <c r="Q13" s="365"/>
      <c r="R13" s="365"/>
      <c r="S13" s="1"/>
      <c r="T13" s="366"/>
      <c r="U13" s="366"/>
      <c r="V13" s="366"/>
      <c r="W13" s="366"/>
      <c r="X13" s="366"/>
      <c r="Y13" s="1"/>
      <c r="Z13" s="367"/>
      <c r="AA13" s="367"/>
      <c r="AB13" s="367"/>
      <c r="AC13" s="367"/>
      <c r="AD13" s="367"/>
      <c r="AE13" s="1"/>
      <c r="AF13" s="368"/>
      <c r="AG13" s="368"/>
      <c r="AH13" s="368"/>
      <c r="AI13" s="368"/>
      <c r="AJ13" s="368"/>
      <c r="AK13" s="1"/>
      <c r="AL13" s="369"/>
      <c r="AM13" s="369"/>
      <c r="AN13" s="369"/>
      <c r="AO13" s="369"/>
      <c r="AP13" s="369"/>
      <c r="AR13" s="354"/>
      <c r="AS13" s="369"/>
      <c r="AT13" s="369"/>
      <c r="AU13" s="369"/>
      <c r="AV13" s="369"/>
      <c r="AW13" s="369"/>
      <c r="AZ13" s="355"/>
      <c r="BA13" s="355"/>
      <c r="BB13" s="355"/>
      <c r="BC13" s="355"/>
      <c r="BD13" s="355"/>
      <c r="BE13" s="355"/>
      <c r="BF13" s="355"/>
      <c r="BG13" s="355"/>
      <c r="BH13" s="355"/>
      <c r="BI13" s="355"/>
      <c r="BJ13" s="355"/>
      <c r="BK13" s="355"/>
      <c r="BL13" s="355"/>
      <c r="BM13" s="355"/>
      <c r="BN13" s="355"/>
      <c r="BO13" s="355"/>
      <c r="BP13" s="355"/>
      <c r="BQ13" s="355"/>
      <c r="BR13" s="355"/>
      <c r="BS13" s="355"/>
      <c r="BV13" s="626" t="s">
        <v>197</v>
      </c>
      <c r="BW13" s="628"/>
      <c r="BX13" s="626" t="s">
        <v>199</v>
      </c>
      <c r="BY13" s="627"/>
      <c r="BZ13" s="628"/>
      <c r="CA13" s="359"/>
    </row>
    <row r="14" spans="2:79" ht="94" customHeight="1" thickBot="1">
      <c r="C14" s="364" t="s">
        <v>24</v>
      </c>
      <c r="D14" s="364" t="s">
        <v>26</v>
      </c>
      <c r="E14" s="364" t="s">
        <v>25</v>
      </c>
      <c r="F14" s="364" t="s">
        <v>92</v>
      </c>
      <c r="G14" s="364" t="s">
        <v>75</v>
      </c>
      <c r="H14" s="364" t="s">
        <v>3</v>
      </c>
      <c r="I14" s="364" t="s">
        <v>1</v>
      </c>
      <c r="J14" s="315" t="s">
        <v>64</v>
      </c>
      <c r="K14" s="316" t="s">
        <v>65</v>
      </c>
      <c r="M14" s="11" t="s">
        <v>77</v>
      </c>
      <c r="N14" s="11" t="s">
        <v>2</v>
      </c>
      <c r="O14" s="12" t="s">
        <v>1</v>
      </c>
      <c r="P14" s="12" t="s">
        <v>119</v>
      </c>
      <c r="Q14" s="11" t="s">
        <v>85</v>
      </c>
      <c r="R14" s="11" t="s">
        <v>6</v>
      </c>
      <c r="T14" s="11" t="s">
        <v>31</v>
      </c>
      <c r="U14" s="11" t="s">
        <v>2</v>
      </c>
      <c r="V14" s="12" t="s">
        <v>1</v>
      </c>
      <c r="W14" s="11" t="s">
        <v>5</v>
      </c>
      <c r="X14" s="11" t="s">
        <v>6</v>
      </c>
      <c r="Z14" s="11" t="s">
        <v>31</v>
      </c>
      <c r="AA14" s="11" t="s">
        <v>2</v>
      </c>
      <c r="AB14" s="12" t="s">
        <v>1</v>
      </c>
      <c r="AC14" s="11" t="s">
        <v>5</v>
      </c>
      <c r="AD14" s="11" t="s">
        <v>6</v>
      </c>
      <c r="AF14" s="11" t="s">
        <v>31</v>
      </c>
      <c r="AG14" s="11" t="s">
        <v>2</v>
      </c>
      <c r="AH14" s="21" t="s">
        <v>1</v>
      </c>
      <c r="AI14" s="22" t="s">
        <v>5</v>
      </c>
      <c r="AJ14" s="22" t="s">
        <v>6</v>
      </c>
      <c r="AL14" s="11" t="s">
        <v>31</v>
      </c>
      <c r="AM14" s="11" t="s">
        <v>2</v>
      </c>
      <c r="AN14" s="12" t="s">
        <v>1</v>
      </c>
      <c r="AO14" s="11" t="s">
        <v>5</v>
      </c>
      <c r="AP14" s="11" t="s">
        <v>6</v>
      </c>
      <c r="AR14" s="27" t="s">
        <v>33</v>
      </c>
      <c r="AS14" s="25" t="s">
        <v>4</v>
      </c>
      <c r="AT14" s="11" t="s">
        <v>2</v>
      </c>
      <c r="AU14" s="12" t="s">
        <v>1</v>
      </c>
      <c r="AV14" s="11" t="s">
        <v>5</v>
      </c>
      <c r="AW14" s="11" t="s">
        <v>6</v>
      </c>
      <c r="AZ14" s="309" t="s">
        <v>120</v>
      </c>
      <c r="BA14" s="309" t="s">
        <v>137</v>
      </c>
      <c r="BB14" s="309" t="s">
        <v>136</v>
      </c>
      <c r="BC14" s="309" t="s">
        <v>138</v>
      </c>
      <c r="BD14" s="309" t="s">
        <v>120</v>
      </c>
      <c r="BE14" s="309" t="s">
        <v>137</v>
      </c>
      <c r="BF14" s="309" t="s">
        <v>133</v>
      </c>
      <c r="BG14" s="309" t="s">
        <v>139</v>
      </c>
      <c r="BH14" s="309" t="s">
        <v>120</v>
      </c>
      <c r="BI14" s="309" t="s">
        <v>137</v>
      </c>
      <c r="BJ14" s="309" t="s">
        <v>133</v>
      </c>
      <c r="BK14" s="309"/>
      <c r="BL14" s="309" t="s">
        <v>120</v>
      </c>
      <c r="BM14" s="309" t="s">
        <v>137</v>
      </c>
      <c r="BN14" s="309" t="s">
        <v>133</v>
      </c>
      <c r="BO14" s="309"/>
      <c r="BP14" s="309" t="s">
        <v>120</v>
      </c>
      <c r="BQ14" s="309" t="s">
        <v>137</v>
      </c>
      <c r="BR14" s="309" t="s">
        <v>133</v>
      </c>
      <c r="BS14" s="309" t="s">
        <v>138</v>
      </c>
      <c r="BV14" s="315" t="s">
        <v>3</v>
      </c>
      <c r="BW14" s="316" t="s">
        <v>1</v>
      </c>
      <c r="BX14" s="315" t="s">
        <v>198</v>
      </c>
      <c r="BY14" s="375" t="s">
        <v>206</v>
      </c>
      <c r="BZ14" s="316" t="s">
        <v>200</v>
      </c>
      <c r="CA14" s="360"/>
    </row>
    <row r="15" spans="2:79" ht="30" customHeight="1">
      <c r="B15" s="600" t="s">
        <v>171</v>
      </c>
      <c r="C15" s="273"/>
      <c r="D15" s="273">
        <v>1</v>
      </c>
      <c r="E15" s="273">
        <f>D15+1</f>
        <v>2</v>
      </c>
      <c r="F15" s="273">
        <f t="shared" ref="F15:AW15" si="1">E15+1</f>
        <v>3</v>
      </c>
      <c r="G15" s="273">
        <f t="shared" si="1"/>
        <v>4</v>
      </c>
      <c r="H15" s="273">
        <f t="shared" si="1"/>
        <v>5</v>
      </c>
      <c r="I15" s="273">
        <f t="shared" si="1"/>
        <v>6</v>
      </c>
      <c r="J15" s="273">
        <f>I15+1</f>
        <v>7</v>
      </c>
      <c r="K15" s="273">
        <f t="shared" si="1"/>
        <v>8</v>
      </c>
      <c r="L15" s="273">
        <f t="shared" si="1"/>
        <v>9</v>
      </c>
      <c r="M15" s="273">
        <f t="shared" si="1"/>
        <v>10</v>
      </c>
      <c r="N15" s="273">
        <f t="shared" si="1"/>
        <v>11</v>
      </c>
      <c r="O15" s="273">
        <f t="shared" si="1"/>
        <v>12</v>
      </c>
      <c r="P15" s="273">
        <f t="shared" si="1"/>
        <v>13</v>
      </c>
      <c r="Q15" s="273">
        <f t="shared" si="1"/>
        <v>14</v>
      </c>
      <c r="R15" s="273">
        <f t="shared" si="1"/>
        <v>15</v>
      </c>
      <c r="S15" s="273">
        <f t="shared" si="1"/>
        <v>16</v>
      </c>
      <c r="T15" s="273">
        <f t="shared" si="1"/>
        <v>17</v>
      </c>
      <c r="U15" s="273">
        <f t="shared" si="1"/>
        <v>18</v>
      </c>
      <c r="V15" s="273">
        <f t="shared" si="1"/>
        <v>19</v>
      </c>
      <c r="W15" s="273">
        <f t="shared" si="1"/>
        <v>20</v>
      </c>
      <c r="X15" s="273">
        <f t="shared" si="1"/>
        <v>21</v>
      </c>
      <c r="Y15" s="273">
        <f t="shared" si="1"/>
        <v>22</v>
      </c>
      <c r="Z15" s="273">
        <f t="shared" si="1"/>
        <v>23</v>
      </c>
      <c r="AA15" s="273">
        <f t="shared" si="1"/>
        <v>24</v>
      </c>
      <c r="AB15" s="273">
        <f t="shared" si="1"/>
        <v>25</v>
      </c>
      <c r="AC15" s="273">
        <f t="shared" si="1"/>
        <v>26</v>
      </c>
      <c r="AD15" s="273">
        <f t="shared" si="1"/>
        <v>27</v>
      </c>
      <c r="AE15" s="273">
        <f t="shared" si="1"/>
        <v>28</v>
      </c>
      <c r="AF15" s="273">
        <f t="shared" si="1"/>
        <v>29</v>
      </c>
      <c r="AG15" s="273">
        <f t="shared" si="1"/>
        <v>30</v>
      </c>
      <c r="AH15" s="273">
        <f t="shared" si="1"/>
        <v>31</v>
      </c>
      <c r="AI15" s="273">
        <f t="shared" si="1"/>
        <v>32</v>
      </c>
      <c r="AJ15" s="273">
        <f t="shared" si="1"/>
        <v>33</v>
      </c>
      <c r="AK15" s="273">
        <f t="shared" si="1"/>
        <v>34</v>
      </c>
      <c r="AL15" s="273">
        <f t="shared" si="1"/>
        <v>35</v>
      </c>
      <c r="AM15" s="273">
        <f t="shared" si="1"/>
        <v>36</v>
      </c>
      <c r="AN15" s="273">
        <f t="shared" si="1"/>
        <v>37</v>
      </c>
      <c r="AO15" s="273">
        <f t="shared" si="1"/>
        <v>38</v>
      </c>
      <c r="AP15" s="273">
        <f t="shared" si="1"/>
        <v>39</v>
      </c>
      <c r="AQ15" s="273">
        <f t="shared" si="1"/>
        <v>40</v>
      </c>
      <c r="AR15" s="273">
        <f t="shared" si="1"/>
        <v>41</v>
      </c>
      <c r="AS15" s="273">
        <f t="shared" si="1"/>
        <v>42</v>
      </c>
      <c r="AT15" s="273">
        <f t="shared" si="1"/>
        <v>43</v>
      </c>
      <c r="AU15" s="273">
        <f t="shared" si="1"/>
        <v>44</v>
      </c>
      <c r="AV15" s="273">
        <f t="shared" si="1"/>
        <v>45</v>
      </c>
      <c r="AW15" s="273">
        <f t="shared" si="1"/>
        <v>46</v>
      </c>
      <c r="AY15" t="s">
        <v>91</v>
      </c>
      <c r="AZ15" s="36"/>
      <c r="BA15" s="36"/>
      <c r="BB15" s="36"/>
      <c r="BC15" s="36"/>
      <c r="BD15" s="36"/>
      <c r="BE15" s="36"/>
      <c r="BF15" s="36"/>
      <c r="BG15" s="36"/>
      <c r="BH15" s="36"/>
      <c r="BI15" s="36"/>
      <c r="BJ15" s="36"/>
      <c r="BK15" s="36"/>
      <c r="BL15" s="36"/>
      <c r="BM15" s="36"/>
      <c r="BN15" s="36"/>
      <c r="BO15" s="36"/>
      <c r="BP15" s="36"/>
      <c r="BQ15" s="36"/>
      <c r="BR15" s="36"/>
      <c r="BS15" s="36"/>
      <c r="BV15" s="273">
        <f>BU15+1</f>
        <v>1</v>
      </c>
      <c r="BW15" s="273">
        <f>BV15+1</f>
        <v>2</v>
      </c>
      <c r="BX15" s="273"/>
      <c r="BY15" s="273"/>
      <c r="BZ15" s="273"/>
      <c r="CA15" s="273"/>
    </row>
    <row r="16" spans="2:79" ht="43" customHeight="1" thickBot="1">
      <c r="B16" s="601"/>
      <c r="C16" s="273"/>
      <c r="D16" s="273"/>
      <c r="E16" s="273"/>
      <c r="F16" s="273"/>
      <c r="G16" s="273"/>
      <c r="H16" s="639"/>
      <c r="I16" s="639"/>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3"/>
      <c r="AP16" s="273"/>
      <c r="AQ16" s="273"/>
      <c r="AR16" s="273"/>
      <c r="AS16" s="273"/>
      <c r="AT16" s="273"/>
      <c r="AU16" s="273"/>
      <c r="AV16" s="273"/>
      <c r="AW16" s="273"/>
      <c r="AZ16" s="36"/>
      <c r="BA16" s="36"/>
      <c r="BB16" s="36"/>
      <c r="BC16" s="36"/>
      <c r="BD16" s="36"/>
      <c r="BE16" s="36"/>
      <c r="BF16" s="36"/>
      <c r="BG16" s="36"/>
      <c r="BH16" s="36"/>
      <c r="BI16" s="36"/>
      <c r="BJ16" s="36"/>
      <c r="BK16" s="36"/>
      <c r="BL16" s="36"/>
      <c r="BM16" s="36"/>
      <c r="BN16" s="36"/>
      <c r="BO16" s="36"/>
      <c r="BP16" s="36"/>
      <c r="BQ16" s="36"/>
      <c r="BR16" s="36"/>
      <c r="BS16" s="36"/>
      <c r="BV16" s="273"/>
      <c r="BW16" s="273"/>
      <c r="BX16" s="273"/>
      <c r="BY16" s="273"/>
      <c r="BZ16" s="273"/>
      <c r="CA16" s="273"/>
    </row>
    <row r="17" spans="2:79" ht="19" thickBot="1">
      <c r="B17" s="602"/>
      <c r="C17" s="318">
        <f>'MASTER SUMMARY'!M12</f>
        <v>2017</v>
      </c>
      <c r="D17" s="319">
        <f>'MASTER SUMMARY'!M13</f>
        <v>62</v>
      </c>
      <c r="E17" s="320"/>
      <c r="F17" s="42">
        <f>'MASTER SUMMARY'!M15</f>
        <v>15000</v>
      </c>
      <c r="G17" s="321">
        <f>IF(ISERROR(VLOOKUP(C17,'TABLES-ACTUAL &amp; FUTURE RATES'!$D$9:$F$80,2,FALSE)),0,VLOOKUP(C17,'TABLES-ACTUAL &amp; FUTURE RATES'!$D$9:$F$80,2,FALSE))</f>
        <v>2.5999999999999999E-2</v>
      </c>
      <c r="H17" s="371"/>
      <c r="I17" s="371"/>
      <c r="J17" s="4"/>
      <c r="K17" s="4"/>
      <c r="L17" s="163" t="s">
        <v>28</v>
      </c>
      <c r="O17" s="3">
        <f>F17</f>
        <v>15000</v>
      </c>
      <c r="P17" s="3"/>
      <c r="V17" s="3">
        <f>F17</f>
        <v>15000</v>
      </c>
      <c r="AB17" s="3">
        <f>F17</f>
        <v>15000</v>
      </c>
      <c r="AF17" t="s">
        <v>12</v>
      </c>
      <c r="AG17" t="s">
        <v>12</v>
      </c>
      <c r="AH17" s="3">
        <f>F17</f>
        <v>15000</v>
      </c>
      <c r="AL17" t="s">
        <v>12</v>
      </c>
      <c r="AM17" t="s">
        <v>12</v>
      </c>
      <c r="AN17" s="3">
        <f>F17</f>
        <v>15000</v>
      </c>
      <c r="AU17" s="3">
        <f>F17</f>
        <v>15000</v>
      </c>
      <c r="BV17" s="372"/>
      <c r="BW17" s="372"/>
      <c r="BX17" s="4"/>
      <c r="BY17" s="4"/>
      <c r="BZ17" s="4"/>
      <c r="CA17" s="4"/>
    </row>
    <row r="18" spans="2:79" ht="20" thickBot="1">
      <c r="B18" s="308">
        <v>2005</v>
      </c>
      <c r="C18" s="322">
        <f>C17</f>
        <v>2017</v>
      </c>
      <c r="D18" s="57">
        <f>D17</f>
        <v>62</v>
      </c>
      <c r="E18" s="31">
        <v>1</v>
      </c>
      <c r="F18" s="10">
        <f>F17</f>
        <v>15000</v>
      </c>
      <c r="G18" s="94">
        <f>IF(ISERROR(VLOOKUP(C18,'TABLES-ACTUAL &amp; FUTURE RATES'!$D$9:$F$80,2,FALSE)),0,VLOOKUP(C18,'TABLES-ACTUAL &amp; FUTURE RATES'!$D$9:$F$80,2,FALSE))</f>
        <v>2.5999999999999999E-2</v>
      </c>
      <c r="H18" s="5">
        <f t="shared" ref="H18:H47" si="2">IF($H$13=2,BY18,BV18)</f>
        <v>390</v>
      </c>
      <c r="I18" s="5">
        <f t="shared" ref="I18:I47" si="3">IF($H$13=2,BZ18,BW18)</f>
        <v>15390</v>
      </c>
      <c r="J18" s="317">
        <f>G51</f>
        <v>0.89473684210526316</v>
      </c>
      <c r="K18" s="314">
        <f>G52</f>
        <v>0.10526315789473684</v>
      </c>
      <c r="L18">
        <f t="shared" ref="L18:L47" si="4">C18</f>
        <v>2017</v>
      </c>
      <c r="M18" s="93">
        <f>IF(ISERROR(VLOOKUP(C18,'TABLES-ACTUAL &amp; FUTURE RATES'!$J$9:$K$80,2,FALSE)),0,VLOOKUP(C18,'TABLES-ACTUAL &amp; FUTURE RATES'!$J$9:$K$80,2,FALSE))</f>
        <v>0</v>
      </c>
      <c r="N18" s="7">
        <f t="shared" ref="N18:N47" si="5">IF(C18&lt;$B$18,O17*M18,IF(M18=0,((O17*$K$18)*G18),((O17*$J$18)*M18)+(O17*$K$18*G18)))</f>
        <v>41.052631578947363</v>
      </c>
      <c r="O18" s="8">
        <f>O17+N18</f>
        <v>15041.052631578947</v>
      </c>
      <c r="P18" s="8">
        <f>O18</f>
        <v>15041.052631578947</v>
      </c>
      <c r="Q18" s="9">
        <f t="shared" ref="Q18:Q47" si="6">O18-I18</f>
        <v>-348.9473684210534</v>
      </c>
      <c r="R18" s="9">
        <f>Q18</f>
        <v>-348.9473684210534</v>
      </c>
      <c r="T18" s="93">
        <f>IF(ISERROR(VLOOKUP(C18,'TABLES-ACTUAL &amp; FUTURE RATES'!$L$9:$M$80,2,FALSE)),0,VLOOKUP(C18,'TABLES-ACTUAL &amp; FUTURE RATES'!$L$9:$M$80,2,FALSE))</f>
        <v>0</v>
      </c>
      <c r="U18" s="7">
        <f t="shared" ref="U18:U47" si="7">IF(C18&lt;$B$18,V17*T18,IF(T18=0,((V17*$G$52)*G18),((V17*$G$51)*T18)+(V17*$G$52*G18)))</f>
        <v>41.052631578947363</v>
      </c>
      <c r="V18" s="8">
        <f>V17+U18</f>
        <v>15041.052631578947</v>
      </c>
      <c r="W18" s="9">
        <f t="shared" ref="W18:W47" si="8">V18-I18</f>
        <v>-348.9473684210534</v>
      </c>
      <c r="X18" s="9">
        <f>W18</f>
        <v>-348.9473684210534</v>
      </c>
      <c r="Z18" s="93">
        <f>IF(ISERROR(VLOOKUP(C18,'TABLES-ACTUAL &amp; FUTURE RATES'!$N$9:$O$80,2,FALSE)),0,VLOOKUP(C18,'TABLES-ACTUAL &amp; FUTURE RATES'!$N$9:$O$80,2,FALSE))</f>
        <v>0</v>
      </c>
      <c r="AA18" s="7">
        <f t="shared" ref="AA18:AA47" si="9">IF(C18&lt;$B$18,AB17*Z18,IF(Z18=0,((AB17*$G$52)*G18),((AB17*$G$51)*Z18)+(AB17*$G$52*G18)))</f>
        <v>41.052631578947363</v>
      </c>
      <c r="AB18" s="8">
        <f>AB17+AA18</f>
        <v>15041.052631578947</v>
      </c>
      <c r="AC18" s="9">
        <f t="shared" ref="AC18:AC47" si="10">AB18-I18</f>
        <v>-348.9473684210534</v>
      </c>
      <c r="AD18" s="9">
        <f>AC18</f>
        <v>-348.9473684210534</v>
      </c>
      <c r="AF18" s="93">
        <f>IF(ISERROR(VLOOKUP(C18,'TABLES-ACTUAL &amp; FUTURE RATES'!$P$9:$Q$80,2,FALSE)),0,VLOOKUP(C18,'TABLES-ACTUAL &amp; FUTURE RATES'!$P$9:$Q$80,2,FALSE))</f>
        <v>0</v>
      </c>
      <c r="AG18" s="7">
        <f t="shared" ref="AG18:AG47" si="11">IF(C18&lt;$B$18,AH17*AF18,IF(AF18=0,((AH17*$G$52)*G18),((AH17*$G$51)*AF18)+(AH17*$G$52*G18)))</f>
        <v>41.052631578947363</v>
      </c>
      <c r="AH18" s="8">
        <f>AH17+AG18</f>
        <v>15041.052631578947</v>
      </c>
      <c r="AI18" s="24">
        <f t="shared" ref="AI18:AI47" si="12">AH18-I18</f>
        <v>-348.9473684210534</v>
      </c>
      <c r="AJ18" s="24">
        <f>AI18</f>
        <v>-348.9473684210534</v>
      </c>
      <c r="AL18" s="93">
        <f>IF(ISERROR(VLOOKUP(C18,'TABLES-ACTUAL &amp; FUTURE RATES'!$R$9:$S$80,2,FALSE)),0,VLOOKUP(C18,'TABLES-ACTUAL &amp; FUTURE RATES'!$R$9:$S$80,2,FALSE))</f>
        <v>0</v>
      </c>
      <c r="AM18" s="7">
        <f t="shared" ref="AM18:AM47" si="13">IF(C18&lt;$B$18,AN17*AL18,IF(AL18=0,((AN17*$G$52)*G18),((AN17*$G$51)*AL18)+(AN17*$G$52*G18)))</f>
        <v>41.052631578947363</v>
      </c>
      <c r="AN18" s="8">
        <f>AN17+AM18</f>
        <v>15041.052631578947</v>
      </c>
      <c r="AO18" s="9">
        <f t="shared" ref="AO18:AO47" si="14">AN18-I18</f>
        <v>-348.9473684210534</v>
      </c>
      <c r="AP18" s="9">
        <f>AO18</f>
        <v>-348.9473684210534</v>
      </c>
      <c r="AR18" s="32" t="str">
        <f>IF(ISERROR(VLOOKUP(C18,'TABLES-ACTUAL &amp; FUTURE RATES'!$T$9:$V$80,3,FALSE)),0,VLOOKUP(C18,'TABLES-ACTUAL &amp; FUTURE RATES'!$T$9:$V$80,3,FALSE))</f>
        <v>Actual</v>
      </c>
      <c r="AS18" s="93">
        <f>IF(ISERROR(VLOOKUP(C18,'TABLES-ACTUAL &amp; FUTURE RATES'!$T$9:$U$80,2,FALSE)),0,VLOOKUP(C18,'TABLES-ACTUAL &amp; FUTURE RATES'!$T$9:$U$80,2,FALSE))</f>
        <v>0</v>
      </c>
      <c r="AT18" s="7">
        <f t="shared" ref="AT18:AT47" si="15">IF(C18&lt;$B$18,AU17*AS18,IF(AS18=0,((AU17*$G$52)*G18),((AU17*$G$51)*AS18)+(AU17*$G$52*G18)))</f>
        <v>41.052631578947363</v>
      </c>
      <c r="AU18" s="8">
        <f>AU17+AT18</f>
        <v>15041.052631578947</v>
      </c>
      <c r="AV18" s="9">
        <f t="shared" ref="AV18:AV47" si="16">AU18-I18</f>
        <v>-348.9473684210534</v>
      </c>
      <c r="AW18" s="9">
        <f>AV18</f>
        <v>-348.9473684210534</v>
      </c>
      <c r="AY18">
        <f t="shared" ref="AY18:AY47" si="17">D18</f>
        <v>62</v>
      </c>
      <c r="AZ18" s="9">
        <f>V18</f>
        <v>15041.052631578947</v>
      </c>
      <c r="BA18" s="9">
        <f>AZ18-O18</f>
        <v>0</v>
      </c>
      <c r="BB18" s="9">
        <f>AZ18</f>
        <v>15041.052631578947</v>
      </c>
      <c r="BC18" s="9">
        <f>BB18-P18</f>
        <v>0</v>
      </c>
      <c r="BD18" s="9">
        <f>AB18</f>
        <v>15041.052631578947</v>
      </c>
      <c r="BE18" s="9">
        <f>BD18-O18</f>
        <v>0</v>
      </c>
      <c r="BF18" s="9">
        <f>BD18</f>
        <v>15041.052631578947</v>
      </c>
      <c r="BG18" s="9">
        <f>BF18-P18</f>
        <v>0</v>
      </c>
      <c r="BH18" s="9">
        <f>AH18</f>
        <v>15041.052631578947</v>
      </c>
      <c r="BI18" s="9">
        <f>BH18-O18</f>
        <v>0</v>
      </c>
      <c r="BJ18" s="9">
        <f>BH18</f>
        <v>15041.052631578947</v>
      </c>
      <c r="BK18" s="9">
        <f>BJ18-P18</f>
        <v>0</v>
      </c>
      <c r="BL18" s="9">
        <f>AN18</f>
        <v>15041.052631578947</v>
      </c>
      <c r="BM18" s="9">
        <f>BL18-O18</f>
        <v>0</v>
      </c>
      <c r="BN18" s="9">
        <f>BL18</f>
        <v>15041.052631578947</v>
      </c>
      <c r="BO18" s="9">
        <f>BN18-P18</f>
        <v>0</v>
      </c>
      <c r="BP18" s="9">
        <f>AU18</f>
        <v>15041.052631578947</v>
      </c>
      <c r="BQ18" s="9">
        <f>BP18-O18</f>
        <v>0</v>
      </c>
      <c r="BR18" s="9">
        <f>BP18</f>
        <v>15041.052631578947</v>
      </c>
      <c r="BS18" s="9">
        <f>BR18-P18</f>
        <v>0</v>
      </c>
      <c r="BV18" s="373">
        <f t="shared" ref="BV18:BV47" si="18">F18*G18</f>
        <v>390</v>
      </c>
      <c r="BW18" s="374">
        <f t="shared" ref="BW18:BW47" si="19">F18+BV18</f>
        <v>15390</v>
      </c>
      <c r="BX18" s="376">
        <f>G18</f>
        <v>2.5999999999999999E-2</v>
      </c>
      <c r="BY18" s="377">
        <f t="shared" ref="BY18:BY47" si="20">$F$17*BX18</f>
        <v>390</v>
      </c>
      <c r="BZ18" s="374">
        <f t="shared" ref="BZ18:BZ47" si="21">$F$17+BY18</f>
        <v>15390</v>
      </c>
      <c r="CA18" s="361"/>
    </row>
    <row r="19" spans="2:79" ht="17" thickBot="1">
      <c r="C19" s="322">
        <f t="shared" ref="C19:C46" si="22">C18+1</f>
        <v>2018</v>
      </c>
      <c r="D19" s="57">
        <f t="shared" ref="D19:D46" si="23">D18+1</f>
        <v>63</v>
      </c>
      <c r="E19" s="31">
        <f>E18+1</f>
        <v>2</v>
      </c>
      <c r="F19" s="5">
        <f>I18</f>
        <v>15390</v>
      </c>
      <c r="G19" s="94">
        <f>IF(ISERROR(VLOOKUP(C19,'TABLES-ACTUAL &amp; FUTURE RATES'!$D$9:$F$80,2,FALSE)),0,VLOOKUP(C19,'TABLES-ACTUAL &amp; FUTURE RATES'!$D$9:$F$80,2,FALSE))</f>
        <v>0.04</v>
      </c>
      <c r="H19" s="5">
        <f t="shared" si="2"/>
        <v>615.6</v>
      </c>
      <c r="I19" s="5">
        <f t="shared" si="3"/>
        <v>16005.6</v>
      </c>
      <c r="J19" s="317">
        <f>J18</f>
        <v>0.89473684210526316</v>
      </c>
      <c r="K19" s="314">
        <f>K18</f>
        <v>0.10526315789473684</v>
      </c>
      <c r="L19">
        <f t="shared" si="4"/>
        <v>2018</v>
      </c>
      <c r="M19" s="93">
        <f>IF(ISERROR(VLOOKUP(C19,'TABLES-ACTUAL &amp; FUTURE RATES'!$J$9:$K$80,2,FALSE)),0,VLOOKUP(C19,'TABLES-ACTUAL &amp; FUTURE RATES'!$J$9:$K$80,2,FALSE))</f>
        <v>0</v>
      </c>
      <c r="N19" s="7">
        <f t="shared" si="5"/>
        <v>63.330747922437666</v>
      </c>
      <c r="O19" s="8">
        <f>O18+N19</f>
        <v>15104.383379501383</v>
      </c>
      <c r="P19" s="8">
        <f>P18+O19</f>
        <v>30145.436011080332</v>
      </c>
      <c r="Q19" s="9">
        <f t="shared" si="6"/>
        <v>-901.21662049861698</v>
      </c>
      <c r="R19" s="9">
        <f>R18+Q19</f>
        <v>-1250.1639889196704</v>
      </c>
      <c r="T19" s="93">
        <f>IF(ISERROR(VLOOKUP(C19,'TABLES-ACTUAL &amp; FUTURE RATES'!$L$9:$M$80,2,FALSE)),0,VLOOKUP(C19,'TABLES-ACTUAL &amp; FUTURE RATES'!$L$9:$M$80,2,FALSE))</f>
        <v>0</v>
      </c>
      <c r="U19" s="7">
        <f t="shared" si="7"/>
        <v>63.330747922437666</v>
      </c>
      <c r="V19" s="8">
        <f>V18+U19</f>
        <v>15104.383379501383</v>
      </c>
      <c r="W19" s="9">
        <f t="shared" si="8"/>
        <v>-901.21662049861698</v>
      </c>
      <c r="X19" s="9">
        <f>X18+W19</f>
        <v>-1250.1639889196704</v>
      </c>
      <c r="Z19" s="93">
        <f>IF(ISERROR(VLOOKUP(C19,'TABLES-ACTUAL &amp; FUTURE RATES'!$N$9:$O$80,2,FALSE)),0,VLOOKUP(C19,'TABLES-ACTUAL &amp; FUTURE RATES'!$N$9:$O$80,2,FALSE))</f>
        <v>0</v>
      </c>
      <c r="AA19" s="7">
        <f t="shared" si="9"/>
        <v>63.330747922437666</v>
      </c>
      <c r="AB19" s="8">
        <f>AB18+AA19</f>
        <v>15104.383379501383</v>
      </c>
      <c r="AC19" s="9">
        <f t="shared" si="10"/>
        <v>-901.21662049861698</v>
      </c>
      <c r="AD19" s="9">
        <f>AD18+AC19</f>
        <v>-1250.1639889196704</v>
      </c>
      <c r="AF19" s="93">
        <f>IF(ISERROR(VLOOKUP(C19,'TABLES-ACTUAL &amp; FUTURE RATES'!$P$9:$Q$80,2,FALSE)),0,VLOOKUP(C19,'TABLES-ACTUAL &amp; FUTURE RATES'!$P$9:$Q$80,2,FALSE))</f>
        <v>0</v>
      </c>
      <c r="AG19" s="7">
        <f t="shared" si="11"/>
        <v>63.330747922437666</v>
      </c>
      <c r="AH19" s="8">
        <f>AH18+AG19</f>
        <v>15104.383379501383</v>
      </c>
      <c r="AI19" s="24">
        <f t="shared" si="12"/>
        <v>-901.21662049861698</v>
      </c>
      <c r="AJ19" s="9">
        <f>AJ18+AI19</f>
        <v>-1250.1639889196704</v>
      </c>
      <c r="AL19" s="93">
        <f>IF(ISERROR(VLOOKUP(C19,'TABLES-ACTUAL &amp; FUTURE RATES'!$R$9:$S$80,2,FALSE)),0,VLOOKUP(C19,'TABLES-ACTUAL &amp; FUTURE RATES'!$R$9:$S$80,2,FALSE))</f>
        <v>0</v>
      </c>
      <c r="AM19" s="7">
        <f t="shared" si="13"/>
        <v>63.330747922437666</v>
      </c>
      <c r="AN19" s="8">
        <f>AN18+AM19</f>
        <v>15104.383379501383</v>
      </c>
      <c r="AO19" s="9">
        <f t="shared" si="14"/>
        <v>-901.21662049861698</v>
      </c>
      <c r="AP19" s="9">
        <f>AP18+AO19</f>
        <v>-1250.1639889196704</v>
      </c>
      <c r="AR19" s="32" t="str">
        <f>IF(ISERROR(VLOOKUP(C19,'TABLES-ACTUAL &amp; FUTURE RATES'!$T$9:$V$80,3,FALSE)),0,VLOOKUP(C19,'TABLES-ACTUAL &amp; FUTURE RATES'!$T$9:$V$80,3,FALSE))</f>
        <v>Actual</v>
      </c>
      <c r="AS19" s="93">
        <f>IF(ISERROR(VLOOKUP(C19,'TABLES-ACTUAL &amp; FUTURE RATES'!$T$9:$U$80,2,FALSE)),0,VLOOKUP(C19,'TABLES-ACTUAL &amp; FUTURE RATES'!$T$9:$U$80,2,FALSE))</f>
        <v>0</v>
      </c>
      <c r="AT19" s="7">
        <f t="shared" si="15"/>
        <v>63.330747922437666</v>
      </c>
      <c r="AU19" s="8">
        <f>AU18+AT19</f>
        <v>15104.383379501383</v>
      </c>
      <c r="AV19" s="9">
        <f t="shared" si="16"/>
        <v>-901.21662049861698</v>
      </c>
      <c r="AW19" s="9">
        <f>AW18+AV19</f>
        <v>-1250.1639889196704</v>
      </c>
      <c r="AY19">
        <f t="shared" si="17"/>
        <v>63</v>
      </c>
      <c r="AZ19" s="9">
        <f t="shared" ref="AZ19:AZ47" si="24">V19</f>
        <v>15104.383379501383</v>
      </c>
      <c r="BA19" s="9">
        <f t="shared" ref="BA19:BA47" si="25">AZ19-O19</f>
        <v>0</v>
      </c>
      <c r="BB19" s="9">
        <f>AZ19+BB18</f>
        <v>30145.436011080332</v>
      </c>
      <c r="BC19" s="9">
        <f t="shared" ref="BC19:BC47" si="26">BB19-P19</f>
        <v>0</v>
      </c>
      <c r="BD19" s="9">
        <f t="shared" ref="BD19:BD47" si="27">AB19</f>
        <v>15104.383379501383</v>
      </c>
      <c r="BE19" s="9">
        <f t="shared" ref="BE19:BE47" si="28">BD19-O19</f>
        <v>0</v>
      </c>
      <c r="BF19" s="9">
        <f>BD19+BF18</f>
        <v>30145.436011080332</v>
      </c>
      <c r="BG19" s="9">
        <f t="shared" ref="BG19:BG47" si="29">BF19-P19</f>
        <v>0</v>
      </c>
      <c r="BH19" s="9">
        <f t="shared" ref="BH19:BH47" si="30">AH19</f>
        <v>15104.383379501383</v>
      </c>
      <c r="BI19" s="9">
        <f t="shared" ref="BI19:BI47" si="31">BH19-O19</f>
        <v>0</v>
      </c>
      <c r="BJ19" s="9">
        <f>BH19+BJ18</f>
        <v>30145.436011080332</v>
      </c>
      <c r="BK19" s="9">
        <f t="shared" ref="BK19:BK47" si="32">BJ19-P19</f>
        <v>0</v>
      </c>
      <c r="BL19" s="9">
        <f t="shared" ref="BL19:BL47" si="33">AN19</f>
        <v>15104.383379501383</v>
      </c>
      <c r="BM19" s="9">
        <f t="shared" ref="BM19:BM47" si="34">BL19-O19</f>
        <v>0</v>
      </c>
      <c r="BN19" s="9">
        <f>BL19+BN18</f>
        <v>30145.436011080332</v>
      </c>
      <c r="BO19" s="9">
        <f t="shared" ref="BO19:BO47" si="35">BN19-P19</f>
        <v>0</v>
      </c>
      <c r="BP19" s="9">
        <f t="shared" ref="BP19:BP47" si="36">AU19</f>
        <v>15104.383379501383</v>
      </c>
      <c r="BQ19" s="9">
        <f t="shared" ref="BQ19:BQ47" si="37">BP19-O19</f>
        <v>0</v>
      </c>
      <c r="BR19" s="9">
        <f>BP19+BR18</f>
        <v>30145.436011080332</v>
      </c>
      <c r="BS19" s="9">
        <f t="shared" ref="BS19:BS47" si="38">BR19-P19</f>
        <v>0</v>
      </c>
      <c r="BV19" s="373">
        <f t="shared" si="18"/>
        <v>615.6</v>
      </c>
      <c r="BW19" s="374">
        <f t="shared" si="19"/>
        <v>16005.6</v>
      </c>
      <c r="BX19" s="378">
        <f t="shared" ref="BX19:BX47" si="39">BX18+G19</f>
        <v>6.6000000000000003E-2</v>
      </c>
      <c r="BY19" s="9">
        <f t="shared" si="20"/>
        <v>990</v>
      </c>
      <c r="BZ19" s="323">
        <f t="shared" si="21"/>
        <v>15990</v>
      </c>
      <c r="CA19" s="361"/>
    </row>
    <row r="20" spans="2:79" ht="17" thickBot="1">
      <c r="C20" s="322">
        <f t="shared" si="22"/>
        <v>2019</v>
      </c>
      <c r="D20" s="57">
        <f t="shared" si="23"/>
        <v>64</v>
      </c>
      <c r="E20" s="31">
        <f t="shared" ref="E20:E46" si="40">E19+1</f>
        <v>3</v>
      </c>
      <c r="F20" s="5">
        <f t="shared" ref="F20:F36" si="41">I19</f>
        <v>16005.6</v>
      </c>
      <c r="G20" s="94">
        <f>IF(ISERROR(VLOOKUP(C20,'TABLES-ACTUAL &amp; FUTURE RATES'!$D$9:$F$80,2,FALSE)),0,VLOOKUP(C20,'TABLES-ACTUAL &amp; FUTURE RATES'!$D$9:$F$80,2,FALSE))</f>
        <v>2.5399999999999999E-2</v>
      </c>
      <c r="H20" s="5">
        <f t="shared" si="2"/>
        <v>406.54223999999999</v>
      </c>
      <c r="I20" s="5">
        <f t="shared" si="3"/>
        <v>16412.142240000001</v>
      </c>
      <c r="J20" s="317">
        <f t="shared" ref="J20:J46" si="42">J19</f>
        <v>0.89473684210526316</v>
      </c>
      <c r="K20" s="314">
        <f t="shared" ref="K20:K46" si="43">K19</f>
        <v>0.10526315789473684</v>
      </c>
      <c r="L20">
        <f t="shared" si="4"/>
        <v>2019</v>
      </c>
      <c r="M20" s="93">
        <f>IF(ISERROR(VLOOKUP(C20,'TABLES-ACTUAL &amp; FUTURE RATES'!$J$9:$K$80,2,FALSE)),0,VLOOKUP(C20,'TABLES-ACTUAL &amp; FUTURE RATES'!$J$9:$K$80,2,FALSE))</f>
        <v>0</v>
      </c>
      <c r="N20" s="7">
        <f t="shared" si="5"/>
        <v>40.384351351508961</v>
      </c>
      <c r="O20" s="8">
        <f t="shared" ref="O20:O36" si="44">O19+N20</f>
        <v>15144.767730852893</v>
      </c>
      <c r="P20" s="8">
        <f t="shared" ref="P20:P47" si="45">P19+O20</f>
        <v>45290.203741933226</v>
      </c>
      <c r="Q20" s="9">
        <f t="shared" si="6"/>
        <v>-1267.3745091471083</v>
      </c>
      <c r="R20" s="9">
        <f t="shared" ref="R20:R36" si="46">R19+Q20</f>
        <v>-2517.5384980667786</v>
      </c>
      <c r="T20" s="93">
        <f>IF(ISERROR(VLOOKUP(C20,'TABLES-ACTUAL &amp; FUTURE RATES'!$L$9:$M$80,2,FALSE)),0,VLOOKUP(C20,'TABLES-ACTUAL &amp; FUTURE RATES'!$L$9:$M$80,2,FALSE))</f>
        <v>0</v>
      </c>
      <c r="U20" s="7">
        <f t="shared" si="7"/>
        <v>40.384351351508961</v>
      </c>
      <c r="V20" s="8">
        <f t="shared" ref="V20:V36" si="47">V19+U20</f>
        <v>15144.767730852893</v>
      </c>
      <c r="W20" s="9">
        <f t="shared" si="8"/>
        <v>-1267.3745091471083</v>
      </c>
      <c r="X20" s="9">
        <f t="shared" ref="X20:X36" si="48">X19+W20</f>
        <v>-2517.5384980667786</v>
      </c>
      <c r="Z20" s="93">
        <f>IF(ISERROR(VLOOKUP(C20,'TABLES-ACTUAL &amp; FUTURE RATES'!$N$9:$O$80,2,FALSE)),0,VLOOKUP(C20,'TABLES-ACTUAL &amp; FUTURE RATES'!$N$9:$O$80,2,FALSE))</f>
        <v>0</v>
      </c>
      <c r="AA20" s="7">
        <f t="shared" si="9"/>
        <v>40.384351351508961</v>
      </c>
      <c r="AB20" s="8">
        <f t="shared" ref="AB20:AB36" si="49">AB19+AA20</f>
        <v>15144.767730852893</v>
      </c>
      <c r="AC20" s="9">
        <f t="shared" si="10"/>
        <v>-1267.3745091471083</v>
      </c>
      <c r="AD20" s="9">
        <f t="shared" ref="AD20:AD36" si="50">AD19+AC20</f>
        <v>-2517.5384980667786</v>
      </c>
      <c r="AF20" s="93">
        <f>IF(ISERROR(VLOOKUP(C20,'TABLES-ACTUAL &amp; FUTURE RATES'!$P$9:$Q$80,2,FALSE)),0,VLOOKUP(C20,'TABLES-ACTUAL &amp; FUTURE RATES'!$P$9:$Q$80,2,FALSE))</f>
        <v>0</v>
      </c>
      <c r="AG20" s="7">
        <f t="shared" si="11"/>
        <v>40.384351351508961</v>
      </c>
      <c r="AH20" s="8">
        <f t="shared" ref="AH20:AH36" si="51">AH19+AG20</f>
        <v>15144.767730852893</v>
      </c>
      <c r="AI20" s="24">
        <f t="shared" si="12"/>
        <v>-1267.3745091471083</v>
      </c>
      <c r="AJ20" s="9">
        <f t="shared" ref="AJ20:AJ36" si="52">AJ19+AI20</f>
        <v>-2517.5384980667786</v>
      </c>
      <c r="AL20" s="93">
        <f>IF(ISERROR(VLOOKUP(C20,'TABLES-ACTUAL &amp; FUTURE RATES'!$R$9:$S$80,2,FALSE)),0,VLOOKUP(C20,'TABLES-ACTUAL &amp; FUTURE RATES'!$R$9:$S$80,2,FALSE))</f>
        <v>0</v>
      </c>
      <c r="AM20" s="7">
        <f t="shared" si="13"/>
        <v>40.384351351508961</v>
      </c>
      <c r="AN20" s="8">
        <f t="shared" ref="AN20:AN36" si="53">AN19+AM20</f>
        <v>15144.767730852893</v>
      </c>
      <c r="AO20" s="9">
        <f t="shared" si="14"/>
        <v>-1267.3745091471083</v>
      </c>
      <c r="AP20" s="9">
        <f t="shared" ref="AP20:AP36" si="54">AP19+AO20</f>
        <v>-2517.5384980667786</v>
      </c>
      <c r="AR20" s="32" t="str">
        <f>IF(ISERROR(VLOOKUP(C20,'TABLES-ACTUAL &amp; FUTURE RATES'!$T$9:$V$80,3,FALSE)),0,VLOOKUP(C20,'TABLES-ACTUAL &amp; FUTURE RATES'!$T$9:$V$80,3,FALSE))</f>
        <v>Actual</v>
      </c>
      <c r="AS20" s="93">
        <f>IF(ISERROR(VLOOKUP(C20,'TABLES-ACTUAL &amp; FUTURE RATES'!$T$9:$U$80,2,FALSE)),0,VLOOKUP(C20,'TABLES-ACTUAL &amp; FUTURE RATES'!$T$9:$U$80,2,FALSE))</f>
        <v>0</v>
      </c>
      <c r="AT20" s="7">
        <f t="shared" si="15"/>
        <v>40.384351351508961</v>
      </c>
      <c r="AU20" s="8">
        <f t="shared" ref="AU20:AU36" si="55">AU19+AT20</f>
        <v>15144.767730852893</v>
      </c>
      <c r="AV20" s="9">
        <f t="shared" si="16"/>
        <v>-1267.3745091471083</v>
      </c>
      <c r="AW20" s="9">
        <f t="shared" ref="AW20:AW36" si="56">AW19+AV20</f>
        <v>-2517.5384980667786</v>
      </c>
      <c r="AY20">
        <f t="shared" si="17"/>
        <v>64</v>
      </c>
      <c r="AZ20" s="9">
        <f t="shared" si="24"/>
        <v>15144.767730852893</v>
      </c>
      <c r="BA20" s="9">
        <f t="shared" si="25"/>
        <v>0</v>
      </c>
      <c r="BB20" s="9">
        <f t="shared" ref="BB20:BB47" si="57">AZ20+BB19</f>
        <v>45290.203741933226</v>
      </c>
      <c r="BC20" s="9">
        <f t="shared" si="26"/>
        <v>0</v>
      </c>
      <c r="BD20" s="9">
        <f t="shared" si="27"/>
        <v>15144.767730852893</v>
      </c>
      <c r="BE20" s="9">
        <f t="shared" si="28"/>
        <v>0</v>
      </c>
      <c r="BF20" s="9">
        <f t="shared" ref="BF20:BF47" si="58">BD20+BF19</f>
        <v>45290.203741933226</v>
      </c>
      <c r="BG20" s="9">
        <f t="shared" si="29"/>
        <v>0</v>
      </c>
      <c r="BH20" s="9">
        <f t="shared" si="30"/>
        <v>15144.767730852893</v>
      </c>
      <c r="BI20" s="9">
        <f t="shared" si="31"/>
        <v>0</v>
      </c>
      <c r="BJ20" s="9">
        <f t="shared" ref="BJ20:BJ47" si="59">BH20+BJ19</f>
        <v>45290.203741933226</v>
      </c>
      <c r="BK20" s="9">
        <f t="shared" si="32"/>
        <v>0</v>
      </c>
      <c r="BL20" s="9">
        <f t="shared" si="33"/>
        <v>15144.767730852893</v>
      </c>
      <c r="BM20" s="9">
        <f t="shared" si="34"/>
        <v>0</v>
      </c>
      <c r="BN20" s="9">
        <f t="shared" ref="BN20:BN47" si="60">BL20+BN19</f>
        <v>45290.203741933226</v>
      </c>
      <c r="BO20" s="9">
        <f t="shared" si="35"/>
        <v>0</v>
      </c>
      <c r="BP20" s="9">
        <f t="shared" si="36"/>
        <v>15144.767730852893</v>
      </c>
      <c r="BQ20" s="9">
        <f t="shared" si="37"/>
        <v>0</v>
      </c>
      <c r="BR20" s="9">
        <f t="shared" ref="BR20:BR47" si="61">BP20+BR19</f>
        <v>45290.203741933226</v>
      </c>
      <c r="BS20" s="9">
        <f t="shared" si="38"/>
        <v>0</v>
      </c>
      <c r="BV20" s="373">
        <f t="shared" si="18"/>
        <v>406.54223999999999</v>
      </c>
      <c r="BW20" s="374">
        <f t="shared" si="19"/>
        <v>16412.142240000001</v>
      </c>
      <c r="BX20" s="378">
        <f t="shared" si="39"/>
        <v>9.1400000000000009E-2</v>
      </c>
      <c r="BY20" s="9">
        <f t="shared" si="20"/>
        <v>1371.0000000000002</v>
      </c>
      <c r="BZ20" s="323">
        <f t="shared" si="21"/>
        <v>16371</v>
      </c>
      <c r="CA20" s="361"/>
    </row>
    <row r="21" spans="2:79" ht="17" thickBot="1">
      <c r="C21" s="322">
        <f t="shared" si="22"/>
        <v>2020</v>
      </c>
      <c r="D21" s="57">
        <f t="shared" si="23"/>
        <v>65</v>
      </c>
      <c r="E21" s="49">
        <f t="shared" si="40"/>
        <v>4</v>
      </c>
      <c r="F21" s="46">
        <f t="shared" si="41"/>
        <v>16412.142240000001</v>
      </c>
      <c r="G21" s="94">
        <f>IF(ISERROR(VLOOKUP(C21,'TABLES-ACTUAL &amp; FUTURE RATES'!$D$9:$F$80,2,FALSE)),0,VLOOKUP(C21,'TABLES-ACTUAL &amp; FUTURE RATES'!$D$9:$F$80,2,FALSE))</f>
        <v>2.69E-2</v>
      </c>
      <c r="H21" s="5">
        <f t="shared" si="2"/>
        <v>441.48662625600002</v>
      </c>
      <c r="I21" s="5">
        <f t="shared" si="3"/>
        <v>16853.628866256</v>
      </c>
      <c r="J21" s="317">
        <f t="shared" si="42"/>
        <v>0.89473684210526316</v>
      </c>
      <c r="K21" s="314">
        <f t="shared" si="43"/>
        <v>0.10526315789473684</v>
      </c>
      <c r="L21">
        <f t="shared" si="4"/>
        <v>2020</v>
      </c>
      <c r="M21" s="93">
        <f>IF(ISERROR(VLOOKUP(C21,'TABLES-ACTUAL &amp; FUTURE RATES'!$J$9:$K$80,2,FALSE)),0,VLOOKUP(C21,'TABLES-ACTUAL &amp; FUTURE RATES'!$J$9:$K$80,2,FALSE))</f>
        <v>0</v>
      </c>
      <c r="N21" s="7">
        <f t="shared" si="5"/>
        <v>42.883605469467668</v>
      </c>
      <c r="O21" s="47">
        <f t="shared" si="44"/>
        <v>15187.65133632236</v>
      </c>
      <c r="P21" s="8">
        <f t="shared" si="45"/>
        <v>60477.855078255583</v>
      </c>
      <c r="Q21" s="9">
        <f t="shared" si="6"/>
        <v>-1665.9775299336397</v>
      </c>
      <c r="R21" s="48">
        <f t="shared" si="46"/>
        <v>-4183.5160280004184</v>
      </c>
      <c r="T21" s="93">
        <f>IF(ISERROR(VLOOKUP(C21,'TABLES-ACTUAL &amp; FUTURE RATES'!$L$9:$M$80,2,FALSE)),0,VLOOKUP(C21,'TABLES-ACTUAL &amp; FUTURE RATES'!$L$9:$M$80,2,FALSE))</f>
        <v>0</v>
      </c>
      <c r="U21" s="7">
        <f t="shared" si="7"/>
        <v>42.883605469467668</v>
      </c>
      <c r="V21" s="47">
        <f t="shared" si="47"/>
        <v>15187.65133632236</v>
      </c>
      <c r="W21" s="9">
        <f t="shared" si="8"/>
        <v>-1665.9775299336397</v>
      </c>
      <c r="X21" s="48">
        <f t="shared" si="48"/>
        <v>-4183.5160280004184</v>
      </c>
      <c r="Z21" s="93">
        <f>IF(ISERROR(VLOOKUP(C21,'TABLES-ACTUAL &amp; FUTURE RATES'!$N$9:$O$80,2,FALSE)),0,VLOOKUP(C21,'TABLES-ACTUAL &amp; FUTURE RATES'!$N$9:$O$80,2,FALSE))</f>
        <v>0</v>
      </c>
      <c r="AA21" s="7">
        <f t="shared" si="9"/>
        <v>42.883605469467668</v>
      </c>
      <c r="AB21" s="47">
        <f t="shared" si="49"/>
        <v>15187.65133632236</v>
      </c>
      <c r="AC21" s="9">
        <f t="shared" si="10"/>
        <v>-1665.9775299336397</v>
      </c>
      <c r="AD21" s="48">
        <f t="shared" si="50"/>
        <v>-4183.5160280004184</v>
      </c>
      <c r="AF21" s="93">
        <f>IF(ISERROR(VLOOKUP(C21,'TABLES-ACTUAL &amp; FUTURE RATES'!$P$9:$Q$80,2,FALSE)),0,VLOOKUP(C21,'TABLES-ACTUAL &amp; FUTURE RATES'!$P$9:$Q$80,2,FALSE))</f>
        <v>0</v>
      </c>
      <c r="AG21" s="7">
        <f t="shared" si="11"/>
        <v>42.883605469467668</v>
      </c>
      <c r="AH21" s="47">
        <f t="shared" si="51"/>
        <v>15187.65133632236</v>
      </c>
      <c r="AI21" s="24">
        <f t="shared" si="12"/>
        <v>-1665.9775299336397</v>
      </c>
      <c r="AJ21" s="48">
        <f t="shared" si="52"/>
        <v>-4183.5160280004184</v>
      </c>
      <c r="AL21" s="93">
        <f>IF(ISERROR(VLOOKUP(C21,'TABLES-ACTUAL &amp; FUTURE RATES'!$R$9:$S$80,2,FALSE)),0,VLOOKUP(C21,'TABLES-ACTUAL &amp; FUTURE RATES'!$R$9:$S$80,2,FALSE))</f>
        <v>0</v>
      </c>
      <c r="AM21" s="7">
        <f t="shared" si="13"/>
        <v>42.883605469467668</v>
      </c>
      <c r="AN21" s="47">
        <f t="shared" si="53"/>
        <v>15187.65133632236</v>
      </c>
      <c r="AO21" s="9">
        <f t="shared" si="14"/>
        <v>-1665.9775299336397</v>
      </c>
      <c r="AP21" s="48">
        <f t="shared" si="54"/>
        <v>-4183.5160280004184</v>
      </c>
      <c r="AR21" s="32" t="str">
        <f>IF(ISERROR(VLOOKUP(C21,'TABLES-ACTUAL &amp; FUTURE RATES'!$T$9:$V$80,3,FALSE)),0,VLOOKUP(C21,'TABLES-ACTUAL &amp; FUTURE RATES'!$T$9:$V$80,3,FALSE))</f>
        <v>Actual</v>
      </c>
      <c r="AS21" s="93">
        <f>IF(ISERROR(VLOOKUP(C21,'TABLES-ACTUAL &amp; FUTURE RATES'!$T$9:$U$80,2,FALSE)),0,VLOOKUP(C21,'TABLES-ACTUAL &amp; FUTURE RATES'!$T$9:$U$80,2,FALSE))</f>
        <v>0</v>
      </c>
      <c r="AT21" s="7">
        <f t="shared" si="15"/>
        <v>42.883605469467668</v>
      </c>
      <c r="AU21" s="47">
        <f t="shared" si="55"/>
        <v>15187.65133632236</v>
      </c>
      <c r="AV21" s="9">
        <f t="shared" si="16"/>
        <v>-1665.9775299336397</v>
      </c>
      <c r="AW21" s="48">
        <f t="shared" si="56"/>
        <v>-4183.5160280004184</v>
      </c>
      <c r="AY21">
        <f t="shared" si="17"/>
        <v>65</v>
      </c>
      <c r="AZ21" s="9">
        <f t="shared" si="24"/>
        <v>15187.65133632236</v>
      </c>
      <c r="BA21" s="9">
        <f t="shared" si="25"/>
        <v>0</v>
      </c>
      <c r="BB21" s="9">
        <f t="shared" si="57"/>
        <v>60477.855078255583</v>
      </c>
      <c r="BC21" s="9">
        <f t="shared" si="26"/>
        <v>0</v>
      </c>
      <c r="BD21" s="9">
        <f t="shared" si="27"/>
        <v>15187.65133632236</v>
      </c>
      <c r="BE21" s="9">
        <f t="shared" si="28"/>
        <v>0</v>
      </c>
      <c r="BF21" s="9">
        <f t="shared" si="58"/>
        <v>60477.855078255583</v>
      </c>
      <c r="BG21" s="9">
        <f t="shared" si="29"/>
        <v>0</v>
      </c>
      <c r="BH21" s="9">
        <f t="shared" si="30"/>
        <v>15187.65133632236</v>
      </c>
      <c r="BI21" s="9">
        <f t="shared" si="31"/>
        <v>0</v>
      </c>
      <c r="BJ21" s="9">
        <f t="shared" si="59"/>
        <v>60477.855078255583</v>
      </c>
      <c r="BK21" s="9">
        <f t="shared" si="32"/>
        <v>0</v>
      </c>
      <c r="BL21" s="9">
        <f t="shared" si="33"/>
        <v>15187.65133632236</v>
      </c>
      <c r="BM21" s="9">
        <f t="shared" si="34"/>
        <v>0</v>
      </c>
      <c r="BN21" s="9">
        <f t="shared" si="60"/>
        <v>60477.855078255583</v>
      </c>
      <c r="BO21" s="9">
        <f t="shared" si="35"/>
        <v>0</v>
      </c>
      <c r="BP21" s="9">
        <f t="shared" si="36"/>
        <v>15187.65133632236</v>
      </c>
      <c r="BQ21" s="9">
        <f t="shared" si="37"/>
        <v>0</v>
      </c>
      <c r="BR21" s="9">
        <f t="shared" si="61"/>
        <v>60477.855078255583</v>
      </c>
      <c r="BS21" s="9">
        <f t="shared" si="38"/>
        <v>0</v>
      </c>
      <c r="BV21" s="373">
        <f t="shared" si="18"/>
        <v>441.48662625600002</v>
      </c>
      <c r="BW21" s="374">
        <f t="shared" si="19"/>
        <v>16853.628866256</v>
      </c>
      <c r="BX21" s="378">
        <f t="shared" si="39"/>
        <v>0.11830000000000002</v>
      </c>
      <c r="BY21" s="9">
        <f t="shared" si="20"/>
        <v>1774.5000000000002</v>
      </c>
      <c r="BZ21" s="323">
        <f t="shared" si="21"/>
        <v>16774.5</v>
      </c>
      <c r="CA21" s="361"/>
    </row>
    <row r="22" spans="2:79" ht="17" thickBot="1">
      <c r="C22" s="322">
        <f t="shared" si="22"/>
        <v>2021</v>
      </c>
      <c r="D22" s="57">
        <f t="shared" si="23"/>
        <v>66</v>
      </c>
      <c r="E22" s="62">
        <f t="shared" si="40"/>
        <v>5</v>
      </c>
      <c r="F22" s="50">
        <f t="shared" si="41"/>
        <v>16853.628866256</v>
      </c>
      <c r="G22" s="94">
        <f>IF(ISERROR(VLOOKUP(C22,'TABLES-ACTUAL &amp; FUTURE RATES'!$D$9:$F$80,2,FALSE)),0,VLOOKUP(C22,'TABLES-ACTUAL &amp; FUTURE RATES'!$D$9:$F$80,2,FALSE))</f>
        <v>0.02</v>
      </c>
      <c r="H22" s="5">
        <f t="shared" si="2"/>
        <v>337.07257732511999</v>
      </c>
      <c r="I22" s="5">
        <f t="shared" si="3"/>
        <v>17190.701443581122</v>
      </c>
      <c r="J22" s="317">
        <f t="shared" si="42"/>
        <v>0.89473684210526316</v>
      </c>
      <c r="K22" s="314">
        <f t="shared" si="43"/>
        <v>0.10526315789473684</v>
      </c>
      <c r="L22">
        <f t="shared" si="4"/>
        <v>2021</v>
      </c>
      <c r="M22" s="93">
        <f>IF(ISERROR(VLOOKUP(C22,'TABLES-ACTUAL &amp; FUTURE RATES'!$J$9:$K$80,2,FALSE)),0,VLOOKUP(C22,'TABLES-ACTUAL &amp; FUTURE RATES'!$J$9:$K$80,2,FALSE))</f>
        <v>0</v>
      </c>
      <c r="N22" s="7">
        <f t="shared" si="5"/>
        <v>31.974002813310232</v>
      </c>
      <c r="O22" s="52">
        <f t="shared" si="44"/>
        <v>15219.625339135671</v>
      </c>
      <c r="P22" s="8">
        <f t="shared" si="45"/>
        <v>75697.480417391256</v>
      </c>
      <c r="Q22" s="9">
        <f t="shared" si="6"/>
        <v>-1971.0761044454503</v>
      </c>
      <c r="R22" s="53">
        <f t="shared" si="46"/>
        <v>-6154.5921324458686</v>
      </c>
      <c r="S22" s="51"/>
      <c r="T22" s="93">
        <f>IF(ISERROR(VLOOKUP(C22,'TABLES-ACTUAL &amp; FUTURE RATES'!$L$9:$M$80,2,FALSE)),0,VLOOKUP(C22,'TABLES-ACTUAL &amp; FUTURE RATES'!$L$9:$M$80,2,FALSE))</f>
        <v>0.01</v>
      </c>
      <c r="U22" s="7">
        <f t="shared" si="7"/>
        <v>167.86351476987872</v>
      </c>
      <c r="V22" s="52">
        <f t="shared" si="47"/>
        <v>15355.514851092239</v>
      </c>
      <c r="W22" s="9">
        <f t="shared" si="8"/>
        <v>-1835.1865924888825</v>
      </c>
      <c r="X22" s="53">
        <f t="shared" si="48"/>
        <v>-6018.7026204893009</v>
      </c>
      <c r="Y22" s="51"/>
      <c r="Z22" s="93">
        <f>IF(ISERROR(VLOOKUP(C22,'TABLES-ACTUAL &amp; FUTURE RATES'!$N$9:$O$80,2,FALSE)),0,VLOOKUP(C22,'TABLES-ACTUAL &amp; FUTURE RATES'!$N$9:$O$80,2,FALSE))</f>
        <v>0.02</v>
      </c>
      <c r="AA22" s="7">
        <f t="shared" si="9"/>
        <v>303.75302672644722</v>
      </c>
      <c r="AB22" s="52">
        <f t="shared" si="49"/>
        <v>15491.404363048807</v>
      </c>
      <c r="AC22" s="9">
        <f t="shared" si="10"/>
        <v>-1699.2970805323148</v>
      </c>
      <c r="AD22" s="53">
        <f t="shared" si="50"/>
        <v>-5882.8131085327332</v>
      </c>
      <c r="AE22" s="51"/>
      <c r="AF22" s="93">
        <f>IF(ISERROR(VLOOKUP(C22,'TABLES-ACTUAL &amp; FUTURE RATES'!$P$9:$Q$80,2,FALSE)),0,VLOOKUP(C22,'TABLES-ACTUAL &amp; FUTURE RATES'!$P$9:$Q$80,2,FALSE))</f>
        <v>0.01</v>
      </c>
      <c r="AG22" s="7">
        <f t="shared" si="11"/>
        <v>167.86351476987872</v>
      </c>
      <c r="AH22" s="52">
        <f t="shared" si="51"/>
        <v>15355.514851092239</v>
      </c>
      <c r="AI22" s="24">
        <f t="shared" si="12"/>
        <v>-1835.1865924888825</v>
      </c>
      <c r="AJ22" s="53">
        <f t="shared" si="52"/>
        <v>-6018.7026204893009</v>
      </c>
      <c r="AK22" s="51"/>
      <c r="AL22" s="93">
        <f>IF(ISERROR(VLOOKUP(C22,'TABLES-ACTUAL &amp; FUTURE RATES'!$R$9:$S$80,2,FALSE)),0,VLOOKUP(C22,'TABLES-ACTUAL &amp; FUTURE RATES'!$R$9:$S$80,2,FALSE))</f>
        <v>0.01</v>
      </c>
      <c r="AM22" s="7">
        <f t="shared" si="13"/>
        <v>167.86351476987872</v>
      </c>
      <c r="AN22" s="52">
        <f t="shared" si="53"/>
        <v>15355.514851092239</v>
      </c>
      <c r="AO22" s="9">
        <f t="shared" si="14"/>
        <v>-1835.1865924888825</v>
      </c>
      <c r="AP22" s="53">
        <f t="shared" si="54"/>
        <v>-6018.7026204893009</v>
      </c>
      <c r="AQ22" s="51"/>
      <c r="AR22" s="32">
        <f>IF(ISERROR(VLOOKUP(C22,'TABLES-ACTUAL &amp; FUTURE RATES'!$T$9:$V$80,3,FALSE)),0,VLOOKUP(C22,'TABLES-ACTUAL &amp; FUTURE RATES'!$T$9:$V$80,3,FALSE))</f>
        <v>1</v>
      </c>
      <c r="AS22" s="93">
        <f>IF(ISERROR(VLOOKUP(C22,'TABLES-ACTUAL &amp; FUTURE RATES'!$T$9:$U$80,2,FALSE)),0,VLOOKUP(C22,'TABLES-ACTUAL &amp; FUTURE RATES'!$T$9:$U$80,2,FALSE))</f>
        <v>0.02</v>
      </c>
      <c r="AT22" s="7">
        <f t="shared" si="15"/>
        <v>303.75302672644722</v>
      </c>
      <c r="AU22" s="52">
        <f t="shared" si="55"/>
        <v>15491.404363048807</v>
      </c>
      <c r="AV22" s="9">
        <f t="shared" si="16"/>
        <v>-1699.2970805323148</v>
      </c>
      <c r="AW22" s="54">
        <f t="shared" si="56"/>
        <v>-5882.8131085327332</v>
      </c>
      <c r="AX22" s="259"/>
      <c r="AY22">
        <f t="shared" si="17"/>
        <v>66</v>
      </c>
      <c r="AZ22" s="9">
        <f t="shared" si="24"/>
        <v>15355.514851092239</v>
      </c>
      <c r="BA22" s="9">
        <f t="shared" si="25"/>
        <v>135.88951195656773</v>
      </c>
      <c r="BB22" s="9">
        <f t="shared" si="57"/>
        <v>75833.369929347828</v>
      </c>
      <c r="BC22" s="9">
        <f t="shared" si="26"/>
        <v>135.88951195657137</v>
      </c>
      <c r="BD22" s="9">
        <f t="shared" si="27"/>
        <v>15491.404363048807</v>
      </c>
      <c r="BE22" s="9">
        <f t="shared" si="28"/>
        <v>271.77902391313546</v>
      </c>
      <c r="BF22" s="9">
        <f t="shared" si="58"/>
        <v>75969.259441304384</v>
      </c>
      <c r="BG22" s="9">
        <f t="shared" si="29"/>
        <v>271.77902391312819</v>
      </c>
      <c r="BH22" s="9">
        <f t="shared" si="30"/>
        <v>15355.514851092239</v>
      </c>
      <c r="BI22" s="9">
        <f t="shared" si="31"/>
        <v>135.88951195656773</v>
      </c>
      <c r="BJ22" s="9">
        <f t="shared" si="59"/>
        <v>75833.369929347828</v>
      </c>
      <c r="BK22" s="9">
        <f t="shared" si="32"/>
        <v>135.88951195657137</v>
      </c>
      <c r="BL22" s="9">
        <f t="shared" si="33"/>
        <v>15355.514851092239</v>
      </c>
      <c r="BM22" s="9">
        <f t="shared" si="34"/>
        <v>135.88951195656773</v>
      </c>
      <c r="BN22" s="9">
        <f t="shared" si="60"/>
        <v>75833.369929347828</v>
      </c>
      <c r="BO22" s="9">
        <f t="shared" si="35"/>
        <v>135.88951195657137</v>
      </c>
      <c r="BP22" s="9">
        <f t="shared" si="36"/>
        <v>15491.404363048807</v>
      </c>
      <c r="BQ22" s="9">
        <f t="shared" si="37"/>
        <v>271.77902391313546</v>
      </c>
      <c r="BR22" s="9">
        <f t="shared" si="61"/>
        <v>75969.259441304384</v>
      </c>
      <c r="BS22" s="9">
        <f t="shared" si="38"/>
        <v>271.77902391312819</v>
      </c>
      <c r="BV22" s="373">
        <f t="shared" si="18"/>
        <v>337.07257732511999</v>
      </c>
      <c r="BW22" s="374">
        <f t="shared" si="19"/>
        <v>17190.701443581122</v>
      </c>
      <c r="BX22" s="378">
        <f t="shared" si="39"/>
        <v>0.13830000000000001</v>
      </c>
      <c r="BY22" s="9">
        <f t="shared" si="20"/>
        <v>2074.5</v>
      </c>
      <c r="BZ22" s="323">
        <f t="shared" si="21"/>
        <v>17074.5</v>
      </c>
      <c r="CA22" s="361"/>
    </row>
    <row r="23" spans="2:79" ht="17" thickBot="1">
      <c r="C23" s="322">
        <f t="shared" si="22"/>
        <v>2022</v>
      </c>
      <c r="D23" s="57">
        <f t="shared" si="23"/>
        <v>67</v>
      </c>
      <c r="E23" s="63">
        <f t="shared" si="40"/>
        <v>6</v>
      </c>
      <c r="F23" s="10">
        <f t="shared" si="41"/>
        <v>17190.701443581122</v>
      </c>
      <c r="G23" s="94">
        <f>IF(ISERROR(VLOOKUP(C23,'TABLES-ACTUAL &amp; FUTURE RATES'!$D$9:$F$80,2,FALSE)),0,VLOOKUP(C23,'TABLES-ACTUAL &amp; FUTURE RATES'!$D$9:$F$80,2,FALSE))</f>
        <v>0.02</v>
      </c>
      <c r="H23" s="5">
        <f t="shared" si="2"/>
        <v>343.81402887162244</v>
      </c>
      <c r="I23" s="5">
        <f t="shared" si="3"/>
        <v>17534.515472452746</v>
      </c>
      <c r="J23" s="317">
        <f t="shared" si="42"/>
        <v>0.89473684210526316</v>
      </c>
      <c r="K23" s="314">
        <f t="shared" si="43"/>
        <v>0.10526315789473684</v>
      </c>
      <c r="L23">
        <f t="shared" si="4"/>
        <v>2022</v>
      </c>
      <c r="M23" s="93">
        <f>IF(ISERROR(VLOOKUP(C23,'TABLES-ACTUAL &amp; FUTURE RATES'!$J$9:$K$80,2,FALSE)),0,VLOOKUP(C23,'TABLES-ACTUAL &amp; FUTURE RATES'!$J$9:$K$80,2,FALSE))</f>
        <v>0</v>
      </c>
      <c r="N23" s="7">
        <f t="shared" si="5"/>
        <v>32.041316503443518</v>
      </c>
      <c r="O23" s="23">
        <f t="shared" si="44"/>
        <v>15251.666655639116</v>
      </c>
      <c r="P23" s="8">
        <f t="shared" si="45"/>
        <v>90949.14707303037</v>
      </c>
      <c r="Q23" s="9">
        <f t="shared" si="6"/>
        <v>-2282.84881681363</v>
      </c>
      <c r="R23" s="24">
        <f t="shared" si="46"/>
        <v>-8437.4409492594987</v>
      </c>
      <c r="T23" s="93">
        <f>IF(ISERROR(VLOOKUP(C23,'TABLES-ACTUAL &amp; FUTURE RATES'!$L$9:$M$80,2,FALSE)),0,VLOOKUP(C23,'TABLES-ACTUAL &amp; FUTURE RATES'!$L$9:$M$80,2,FALSE))</f>
        <v>0</v>
      </c>
      <c r="U23" s="7">
        <f t="shared" si="7"/>
        <v>32.327399686509978</v>
      </c>
      <c r="V23" s="23">
        <f t="shared" si="47"/>
        <v>15387.842250778749</v>
      </c>
      <c r="W23" s="9">
        <f t="shared" si="8"/>
        <v>-2146.6732216739965</v>
      </c>
      <c r="X23" s="24">
        <f t="shared" si="48"/>
        <v>-8165.3758421632974</v>
      </c>
      <c r="Z23" s="93">
        <f>IF(ISERROR(VLOOKUP(C23,'TABLES-ACTUAL &amp; FUTURE RATES'!$N$9:$O$80,2,FALSE)),0,VLOOKUP(C23,'TABLES-ACTUAL &amp; FUTURE RATES'!$N$9:$O$80,2,FALSE))</f>
        <v>0</v>
      </c>
      <c r="AA23" s="7">
        <f t="shared" si="9"/>
        <v>32.61348286957643</v>
      </c>
      <c r="AB23" s="23">
        <f t="shared" si="49"/>
        <v>15524.017845918383</v>
      </c>
      <c r="AC23" s="9">
        <f t="shared" si="10"/>
        <v>-2010.497626534363</v>
      </c>
      <c r="AD23" s="24">
        <f t="shared" si="50"/>
        <v>-7893.3107350670962</v>
      </c>
      <c r="AF23" s="93">
        <f>IF(ISERROR(VLOOKUP(C23,'TABLES-ACTUAL &amp; FUTURE RATES'!$P$9:$Q$80,2,FALSE)),0,VLOOKUP(C23,'TABLES-ACTUAL &amp; FUTURE RATES'!$P$9:$Q$80,2,FALSE))</f>
        <v>0.01</v>
      </c>
      <c r="AG23" s="7">
        <f t="shared" si="11"/>
        <v>169.7188483541774</v>
      </c>
      <c r="AH23" s="23">
        <f t="shared" si="51"/>
        <v>15525.233699446417</v>
      </c>
      <c r="AI23" s="24">
        <f t="shared" si="12"/>
        <v>-2009.2817730063289</v>
      </c>
      <c r="AJ23" s="24">
        <f t="shared" si="52"/>
        <v>-8027.9843934956298</v>
      </c>
      <c r="AL23" s="93">
        <f>IF(ISERROR(VLOOKUP(C23,'TABLES-ACTUAL &amp; FUTURE RATES'!$R$9:$S$80,2,FALSE)),0,VLOOKUP(C23,'TABLES-ACTUAL &amp; FUTURE RATES'!$R$9:$S$80,2,FALSE))</f>
        <v>0.01</v>
      </c>
      <c r="AM23" s="7">
        <f t="shared" si="13"/>
        <v>169.7188483541774</v>
      </c>
      <c r="AN23" s="23">
        <f t="shared" si="53"/>
        <v>15525.233699446417</v>
      </c>
      <c r="AO23" s="9">
        <f t="shared" si="14"/>
        <v>-2009.2817730063289</v>
      </c>
      <c r="AP23" s="24">
        <f t="shared" si="54"/>
        <v>-8027.9843934956298</v>
      </c>
      <c r="AR23" s="32">
        <f>IF(ISERROR(VLOOKUP(C23,'TABLES-ACTUAL &amp; FUTURE RATES'!$T$9:$V$80,3,FALSE)),0,VLOOKUP(C23,'TABLES-ACTUAL &amp; FUTURE RATES'!$T$9:$V$80,3,FALSE))</f>
        <v>1</v>
      </c>
      <c r="AS23" s="93">
        <f>IF(ISERROR(VLOOKUP(C23,'TABLES-ACTUAL &amp; FUTURE RATES'!$T$9:$U$80,2,FALSE)),0,VLOOKUP(C23,'TABLES-ACTUAL &amp; FUTURE RATES'!$T$9:$U$80,2,FALSE))</f>
        <v>0.02</v>
      </c>
      <c r="AT23" s="7">
        <f t="shared" si="15"/>
        <v>309.82808726097613</v>
      </c>
      <c r="AU23" s="23">
        <f t="shared" si="55"/>
        <v>15801.232450309783</v>
      </c>
      <c r="AV23" s="9">
        <f t="shared" si="16"/>
        <v>-1733.2830221429631</v>
      </c>
      <c r="AW23" s="24">
        <f t="shared" si="56"/>
        <v>-7616.0961306756963</v>
      </c>
      <c r="AX23" s="259"/>
      <c r="AY23">
        <f t="shared" si="17"/>
        <v>67</v>
      </c>
      <c r="AZ23" s="9">
        <f t="shared" si="24"/>
        <v>15387.842250778749</v>
      </c>
      <c r="BA23" s="9">
        <f t="shared" si="25"/>
        <v>136.17559513963351</v>
      </c>
      <c r="BB23" s="9">
        <f t="shared" si="57"/>
        <v>91221.212180126575</v>
      </c>
      <c r="BC23" s="9">
        <f t="shared" si="26"/>
        <v>272.06510709620488</v>
      </c>
      <c r="BD23" s="9">
        <f t="shared" si="27"/>
        <v>15524.017845918383</v>
      </c>
      <c r="BE23" s="9">
        <f t="shared" si="28"/>
        <v>272.35119027926703</v>
      </c>
      <c r="BF23" s="9">
        <f t="shared" si="58"/>
        <v>91493.277287222765</v>
      </c>
      <c r="BG23" s="9">
        <f t="shared" si="29"/>
        <v>544.13021419239521</v>
      </c>
      <c r="BH23" s="9">
        <f t="shared" si="30"/>
        <v>15525.233699446417</v>
      </c>
      <c r="BI23" s="9">
        <f t="shared" si="31"/>
        <v>273.56704380730116</v>
      </c>
      <c r="BJ23" s="9">
        <f t="shared" si="59"/>
        <v>91358.603628794241</v>
      </c>
      <c r="BK23" s="9">
        <f t="shared" si="32"/>
        <v>409.45655576387071</v>
      </c>
      <c r="BL23" s="9">
        <f t="shared" si="33"/>
        <v>15525.233699446417</v>
      </c>
      <c r="BM23" s="9">
        <f t="shared" si="34"/>
        <v>273.56704380730116</v>
      </c>
      <c r="BN23" s="9">
        <f t="shared" si="60"/>
        <v>91358.603628794241</v>
      </c>
      <c r="BO23" s="9">
        <f t="shared" si="35"/>
        <v>409.45655576387071</v>
      </c>
      <c r="BP23" s="9">
        <f t="shared" si="36"/>
        <v>15801.232450309783</v>
      </c>
      <c r="BQ23" s="9">
        <f t="shared" si="37"/>
        <v>549.56579467066695</v>
      </c>
      <c r="BR23" s="9">
        <f t="shared" si="61"/>
        <v>91770.491891614161</v>
      </c>
      <c r="BS23" s="9">
        <f t="shared" si="38"/>
        <v>821.34481858379149</v>
      </c>
      <c r="BV23" s="373">
        <f t="shared" si="18"/>
        <v>343.81402887162244</v>
      </c>
      <c r="BW23" s="374">
        <f t="shared" si="19"/>
        <v>17534.515472452746</v>
      </c>
      <c r="BX23" s="378">
        <f t="shared" si="39"/>
        <v>0.1583</v>
      </c>
      <c r="BY23" s="9">
        <f t="shared" si="20"/>
        <v>2374.5</v>
      </c>
      <c r="BZ23" s="323">
        <f t="shared" si="21"/>
        <v>17374.5</v>
      </c>
      <c r="CA23" s="361"/>
    </row>
    <row r="24" spans="2:79" ht="17" thickBot="1">
      <c r="C24" s="322">
        <f t="shared" si="22"/>
        <v>2023</v>
      </c>
      <c r="D24" s="57">
        <f t="shared" si="23"/>
        <v>68</v>
      </c>
      <c r="E24" s="31">
        <f t="shared" si="40"/>
        <v>7</v>
      </c>
      <c r="F24" s="5">
        <f t="shared" si="41"/>
        <v>17534.515472452746</v>
      </c>
      <c r="G24" s="94">
        <f>IF(ISERROR(VLOOKUP(C24,'TABLES-ACTUAL &amp; FUTURE RATES'!$D$9:$F$80,2,FALSE)),0,VLOOKUP(C24,'TABLES-ACTUAL &amp; FUTURE RATES'!$D$9:$F$80,2,FALSE))</f>
        <v>0.02</v>
      </c>
      <c r="H24" s="5">
        <f t="shared" si="2"/>
        <v>350.69030944905489</v>
      </c>
      <c r="I24" s="5">
        <f t="shared" si="3"/>
        <v>17885.205781901801</v>
      </c>
      <c r="J24" s="317">
        <f t="shared" si="42"/>
        <v>0.89473684210526316</v>
      </c>
      <c r="K24" s="314">
        <f t="shared" si="43"/>
        <v>0.10526315789473684</v>
      </c>
      <c r="L24">
        <f t="shared" si="4"/>
        <v>2023</v>
      </c>
      <c r="M24" s="93">
        <f>IF(ISERROR(VLOOKUP(C24,'TABLES-ACTUAL &amp; FUTURE RATES'!$J$9:$K$80,2,FALSE)),0,VLOOKUP(C24,'TABLES-ACTUAL &amp; FUTURE RATES'!$J$9:$K$80,2,FALSE))</f>
        <v>0</v>
      </c>
      <c r="N24" s="7">
        <f t="shared" si="5"/>
        <v>32.108771906608666</v>
      </c>
      <c r="O24" s="8">
        <f t="shared" si="44"/>
        <v>15283.775427545725</v>
      </c>
      <c r="P24" s="8">
        <f t="shared" si="45"/>
        <v>106232.9225005761</v>
      </c>
      <c r="Q24" s="9">
        <f t="shared" si="6"/>
        <v>-2601.4303543560764</v>
      </c>
      <c r="R24" s="9">
        <f t="shared" si="46"/>
        <v>-11038.871303615575</v>
      </c>
      <c r="T24" s="93">
        <f>IF(ISERROR(VLOOKUP(C24,'TABLES-ACTUAL &amp; FUTURE RATES'!$L$9:$M$80,2,FALSE)),0,VLOOKUP(C24,'TABLES-ACTUAL &amp; FUTURE RATES'!$L$9:$M$80,2,FALSE))</f>
        <v>0</v>
      </c>
      <c r="U24" s="7">
        <f t="shared" si="7"/>
        <v>32.39545737006052</v>
      </c>
      <c r="V24" s="8">
        <f t="shared" si="47"/>
        <v>15420.23770814881</v>
      </c>
      <c r="W24" s="9">
        <f t="shared" si="8"/>
        <v>-2464.9680737529907</v>
      </c>
      <c r="X24" s="9">
        <f t="shared" si="48"/>
        <v>-10630.343915916288</v>
      </c>
      <c r="Z24" s="93">
        <f>IF(ISERROR(VLOOKUP(C24,'TABLES-ACTUAL &amp; FUTURE RATES'!$N$9:$O$80,2,FALSE)),0,VLOOKUP(C24,'TABLES-ACTUAL &amp; FUTURE RATES'!$N$9:$O$80,2,FALSE))</f>
        <v>0.02</v>
      </c>
      <c r="AA24" s="7">
        <f t="shared" si="9"/>
        <v>310.48035691836765</v>
      </c>
      <c r="AB24" s="8">
        <f t="shared" si="49"/>
        <v>15834.49820283675</v>
      </c>
      <c r="AC24" s="9">
        <f t="shared" si="10"/>
        <v>-2050.7075790650506</v>
      </c>
      <c r="AD24" s="9">
        <f t="shared" si="50"/>
        <v>-9944.0183141321468</v>
      </c>
      <c r="AF24" s="93">
        <f>IF(ISERROR(VLOOKUP(C24,'TABLES-ACTUAL &amp; FUTURE RATES'!$P$9:$Q$80,2,FALSE)),0,VLOOKUP(C24,'TABLES-ACTUAL &amp; FUTURE RATES'!$P$9:$Q$80,2,FALSE))</f>
        <v>0.01</v>
      </c>
      <c r="AG24" s="7">
        <f t="shared" si="11"/>
        <v>171.59468825703937</v>
      </c>
      <c r="AH24" s="8">
        <f t="shared" si="51"/>
        <v>15696.828387703456</v>
      </c>
      <c r="AI24" s="24">
        <f t="shared" si="12"/>
        <v>-2188.3773941983454</v>
      </c>
      <c r="AJ24" s="9">
        <f t="shared" si="52"/>
        <v>-10216.361787693975</v>
      </c>
      <c r="AL24" s="93">
        <f>IF(ISERROR(VLOOKUP(C24,'TABLES-ACTUAL &amp; FUTURE RATES'!$R$9:$S$80,2,FALSE)),0,VLOOKUP(C24,'TABLES-ACTUAL &amp; FUTURE RATES'!$R$9:$S$80,2,FALSE))</f>
        <v>0.02</v>
      </c>
      <c r="AM24" s="7">
        <f t="shared" si="13"/>
        <v>310.50467398892835</v>
      </c>
      <c r="AN24" s="8">
        <f t="shared" si="53"/>
        <v>15835.738373435344</v>
      </c>
      <c r="AO24" s="9">
        <f t="shared" si="14"/>
        <v>-2049.4674084664566</v>
      </c>
      <c r="AP24" s="9">
        <f t="shared" si="54"/>
        <v>-10077.451801962086</v>
      </c>
      <c r="AR24" s="32">
        <f>IF(ISERROR(VLOOKUP(C24,'TABLES-ACTUAL &amp; FUTURE RATES'!$T$9:$V$80,3,FALSE)),0,VLOOKUP(C24,'TABLES-ACTUAL &amp; FUTURE RATES'!$T$9:$V$80,3,FALSE))</f>
        <v>1</v>
      </c>
      <c r="AS24" s="93">
        <f>IF(ISERROR(VLOOKUP(C24,'TABLES-ACTUAL &amp; FUTURE RATES'!$T$9:$U$80,2,FALSE)),0,VLOOKUP(C24,'TABLES-ACTUAL &amp; FUTURE RATES'!$T$9:$U$80,2,FALSE))</f>
        <v>0.02</v>
      </c>
      <c r="AT24" s="7">
        <f t="shared" si="15"/>
        <v>316.02464900619566</v>
      </c>
      <c r="AU24" s="8">
        <f t="shared" si="55"/>
        <v>16117.257099315979</v>
      </c>
      <c r="AV24" s="9">
        <f t="shared" si="16"/>
        <v>-1767.9486825858221</v>
      </c>
      <c r="AW24" s="9">
        <f t="shared" si="56"/>
        <v>-9384.0448132615184</v>
      </c>
      <c r="AX24" s="259"/>
      <c r="AY24">
        <f t="shared" si="17"/>
        <v>68</v>
      </c>
      <c r="AZ24" s="9">
        <f t="shared" si="24"/>
        <v>15420.23770814881</v>
      </c>
      <c r="BA24" s="9">
        <f t="shared" si="25"/>
        <v>136.46228060308567</v>
      </c>
      <c r="BB24" s="9">
        <f t="shared" si="57"/>
        <v>106641.44988827538</v>
      </c>
      <c r="BC24" s="9">
        <f t="shared" si="26"/>
        <v>408.52738769928692</v>
      </c>
      <c r="BD24" s="9">
        <f t="shared" si="27"/>
        <v>15834.49820283675</v>
      </c>
      <c r="BE24" s="9">
        <f t="shared" si="28"/>
        <v>550.72277529102575</v>
      </c>
      <c r="BF24" s="9">
        <f t="shared" si="58"/>
        <v>107327.77549005952</v>
      </c>
      <c r="BG24" s="9">
        <f t="shared" si="29"/>
        <v>1094.852989483421</v>
      </c>
      <c r="BH24" s="9">
        <f t="shared" si="30"/>
        <v>15696.828387703456</v>
      </c>
      <c r="BI24" s="9">
        <f t="shared" si="31"/>
        <v>413.05296015773092</v>
      </c>
      <c r="BJ24" s="9">
        <f t="shared" si="59"/>
        <v>107055.4320164977</v>
      </c>
      <c r="BK24" s="9">
        <f t="shared" si="32"/>
        <v>822.50951592159981</v>
      </c>
      <c r="BL24" s="9">
        <f t="shared" si="33"/>
        <v>15835.738373435344</v>
      </c>
      <c r="BM24" s="9">
        <f t="shared" si="34"/>
        <v>551.96294588961973</v>
      </c>
      <c r="BN24" s="9">
        <f t="shared" si="60"/>
        <v>107194.34200222959</v>
      </c>
      <c r="BO24" s="9">
        <f t="shared" si="35"/>
        <v>961.41950165349408</v>
      </c>
      <c r="BP24" s="9">
        <f t="shared" si="36"/>
        <v>16117.257099315979</v>
      </c>
      <c r="BQ24" s="9">
        <f t="shared" si="37"/>
        <v>833.48167177025425</v>
      </c>
      <c r="BR24" s="9">
        <f t="shared" si="61"/>
        <v>107887.74899093014</v>
      </c>
      <c r="BS24" s="9">
        <f t="shared" si="38"/>
        <v>1654.8264903540403</v>
      </c>
      <c r="BV24" s="373">
        <f t="shared" si="18"/>
        <v>350.69030944905489</v>
      </c>
      <c r="BW24" s="374">
        <f t="shared" si="19"/>
        <v>17885.205781901801</v>
      </c>
      <c r="BX24" s="378">
        <f t="shared" si="39"/>
        <v>0.17829999999999999</v>
      </c>
      <c r="BY24" s="9">
        <f t="shared" si="20"/>
        <v>2674.5</v>
      </c>
      <c r="BZ24" s="323">
        <f t="shared" si="21"/>
        <v>17674.5</v>
      </c>
      <c r="CA24" s="361"/>
    </row>
    <row r="25" spans="2:79" ht="17" thickBot="1">
      <c r="C25" s="322">
        <f t="shared" si="22"/>
        <v>2024</v>
      </c>
      <c r="D25" s="57">
        <f t="shared" si="23"/>
        <v>69</v>
      </c>
      <c r="E25" s="31">
        <f t="shared" si="40"/>
        <v>8</v>
      </c>
      <c r="F25" s="5">
        <f t="shared" si="41"/>
        <v>17885.205781901801</v>
      </c>
      <c r="G25" s="94">
        <f>IF(ISERROR(VLOOKUP(C25,'TABLES-ACTUAL &amp; FUTURE RATES'!$D$9:$F$80,2,FALSE)),0,VLOOKUP(C25,'TABLES-ACTUAL &amp; FUTURE RATES'!$D$9:$F$80,2,FALSE))</f>
        <v>0.02</v>
      </c>
      <c r="H25" s="5">
        <f t="shared" si="2"/>
        <v>357.704115638036</v>
      </c>
      <c r="I25" s="5">
        <f t="shared" si="3"/>
        <v>18242.909897539837</v>
      </c>
      <c r="J25" s="317">
        <f t="shared" si="42"/>
        <v>0.89473684210526316</v>
      </c>
      <c r="K25" s="314">
        <f t="shared" si="43"/>
        <v>0.10526315789473684</v>
      </c>
      <c r="L25">
        <f t="shared" si="4"/>
        <v>2024</v>
      </c>
      <c r="M25" s="93">
        <f>IF(ISERROR(VLOOKUP(C25,'TABLES-ACTUAL &amp; FUTURE RATES'!$J$9:$K$80,2,FALSE)),0,VLOOKUP(C25,'TABLES-ACTUAL &amp; FUTURE RATES'!$J$9:$K$80,2,FALSE))</f>
        <v>0</v>
      </c>
      <c r="N25" s="7">
        <f t="shared" si="5"/>
        <v>32.17636932114889</v>
      </c>
      <c r="O25" s="8">
        <f t="shared" si="44"/>
        <v>15315.951796866873</v>
      </c>
      <c r="P25" s="8">
        <f t="shared" si="45"/>
        <v>121548.87429744296</v>
      </c>
      <c r="Q25" s="9">
        <f t="shared" si="6"/>
        <v>-2926.9581006729641</v>
      </c>
      <c r="R25" s="9">
        <f t="shared" si="46"/>
        <v>-13965.829404288539</v>
      </c>
      <c r="T25" s="93">
        <f>IF(ISERROR(VLOOKUP(C25,'TABLES-ACTUAL &amp; FUTURE RATES'!$L$9:$M$80,2,FALSE)),0,VLOOKUP(C25,'TABLES-ACTUAL &amp; FUTURE RATES'!$L$9:$M$80,2,FALSE))</f>
        <v>0</v>
      </c>
      <c r="U25" s="7">
        <f t="shared" si="7"/>
        <v>32.46365833294486</v>
      </c>
      <c r="V25" s="8">
        <f t="shared" si="47"/>
        <v>15452.701366481755</v>
      </c>
      <c r="W25" s="9">
        <f t="shared" si="8"/>
        <v>-2790.2085310580824</v>
      </c>
      <c r="X25" s="9">
        <f t="shared" si="48"/>
        <v>-13420.55244697437</v>
      </c>
      <c r="Z25" s="93">
        <f>IF(ISERROR(VLOOKUP(C25,'TABLES-ACTUAL &amp; FUTURE RATES'!$N$9:$O$80,2,FALSE)),0,VLOOKUP(C25,'TABLES-ACTUAL &amp; FUTURE RATES'!$N$9:$O$80,2,FALSE))</f>
        <v>0</v>
      </c>
      <c r="AA25" s="7">
        <f t="shared" si="9"/>
        <v>33.335785690182632</v>
      </c>
      <c r="AB25" s="8">
        <f t="shared" si="49"/>
        <v>15867.833988526932</v>
      </c>
      <c r="AC25" s="9">
        <f t="shared" si="10"/>
        <v>-2375.075909012905</v>
      </c>
      <c r="AD25" s="9">
        <f t="shared" si="50"/>
        <v>-12319.094223145052</v>
      </c>
      <c r="AF25" s="93">
        <f>IF(ISERROR(VLOOKUP(C25,'TABLES-ACTUAL &amp; FUTURE RATES'!$P$9:$Q$80,2,FALSE)),0,VLOOKUP(C25,'TABLES-ACTUAL &amp; FUTURE RATES'!$P$9:$Q$80,2,FALSE))</f>
        <v>0.01</v>
      </c>
      <c r="AG25" s="7">
        <f t="shared" si="11"/>
        <v>173.49126112724872</v>
      </c>
      <c r="AH25" s="8">
        <f t="shared" si="51"/>
        <v>15870.319648830704</v>
      </c>
      <c r="AI25" s="24">
        <f t="shared" si="12"/>
        <v>-2372.5902487091334</v>
      </c>
      <c r="AJ25" s="9">
        <f t="shared" si="52"/>
        <v>-12588.952036403109</v>
      </c>
      <c r="AL25" s="93">
        <f>IF(ISERROR(VLOOKUP(C25,'TABLES-ACTUAL &amp; FUTURE RATES'!$R$9:$S$80,2,FALSE)),0,VLOOKUP(C25,'TABLES-ACTUAL &amp; FUTURE RATES'!$R$9:$S$80,2,FALSE))</f>
        <v>0.01</v>
      </c>
      <c r="AM25" s="7">
        <f t="shared" si="13"/>
        <v>175.02658202218012</v>
      </c>
      <c r="AN25" s="8">
        <f t="shared" si="53"/>
        <v>16010.764955457524</v>
      </c>
      <c r="AO25" s="9">
        <f t="shared" si="14"/>
        <v>-2232.1449420823137</v>
      </c>
      <c r="AP25" s="9">
        <f t="shared" si="54"/>
        <v>-12309.5967440444</v>
      </c>
      <c r="AR25" s="32">
        <f>IF(ISERROR(VLOOKUP(C25,'TABLES-ACTUAL &amp; FUTURE RATES'!$T$9:$V$80,3,FALSE)),0,VLOOKUP(C25,'TABLES-ACTUAL &amp; FUTURE RATES'!$T$9:$V$80,3,FALSE))</f>
        <v>1</v>
      </c>
      <c r="AS25" s="93">
        <f>IF(ISERROR(VLOOKUP(C25,'TABLES-ACTUAL &amp; FUTURE RATES'!$T$9:$U$80,2,FALSE)),0,VLOOKUP(C25,'TABLES-ACTUAL &amp; FUTURE RATES'!$T$9:$U$80,2,FALSE))</f>
        <v>0.02</v>
      </c>
      <c r="AT25" s="7">
        <f t="shared" si="15"/>
        <v>322.34514198631962</v>
      </c>
      <c r="AU25" s="8">
        <f t="shared" si="55"/>
        <v>16439.602241302298</v>
      </c>
      <c r="AV25" s="9">
        <f t="shared" si="16"/>
        <v>-1803.307656237539</v>
      </c>
      <c r="AW25" s="9">
        <f t="shared" si="56"/>
        <v>-11187.352469499057</v>
      </c>
      <c r="AX25" s="259"/>
      <c r="AY25">
        <f t="shared" si="17"/>
        <v>69</v>
      </c>
      <c r="AZ25" s="9">
        <f t="shared" si="24"/>
        <v>15452.701366481755</v>
      </c>
      <c r="BA25" s="9">
        <f t="shared" si="25"/>
        <v>136.74956961488169</v>
      </c>
      <c r="BB25" s="9">
        <f t="shared" si="57"/>
        <v>122094.15125475713</v>
      </c>
      <c r="BC25" s="9">
        <f t="shared" si="26"/>
        <v>545.27695731417043</v>
      </c>
      <c r="BD25" s="9">
        <f t="shared" si="27"/>
        <v>15867.833988526932</v>
      </c>
      <c r="BE25" s="9">
        <f t="shared" si="28"/>
        <v>551.88219166005911</v>
      </c>
      <c r="BF25" s="9">
        <f t="shared" si="58"/>
        <v>123195.60947858646</v>
      </c>
      <c r="BG25" s="9">
        <f t="shared" si="29"/>
        <v>1646.7351811434928</v>
      </c>
      <c r="BH25" s="9">
        <f t="shared" si="30"/>
        <v>15870.319648830704</v>
      </c>
      <c r="BI25" s="9">
        <f t="shared" si="31"/>
        <v>554.36785196383062</v>
      </c>
      <c r="BJ25" s="9">
        <f t="shared" si="59"/>
        <v>122925.7516653284</v>
      </c>
      <c r="BK25" s="9">
        <f t="shared" si="32"/>
        <v>1376.8773678854341</v>
      </c>
      <c r="BL25" s="9">
        <f t="shared" si="33"/>
        <v>16010.764955457524</v>
      </c>
      <c r="BM25" s="9">
        <f t="shared" si="34"/>
        <v>694.81315859065035</v>
      </c>
      <c r="BN25" s="9">
        <f t="shared" si="60"/>
        <v>123205.10695768711</v>
      </c>
      <c r="BO25" s="9">
        <f t="shared" si="35"/>
        <v>1656.2326602441462</v>
      </c>
      <c r="BP25" s="9">
        <f t="shared" si="36"/>
        <v>16439.602241302298</v>
      </c>
      <c r="BQ25" s="9">
        <f t="shared" si="37"/>
        <v>1123.650444435425</v>
      </c>
      <c r="BR25" s="9">
        <f t="shared" si="61"/>
        <v>124327.35123223244</v>
      </c>
      <c r="BS25" s="9">
        <f t="shared" si="38"/>
        <v>2778.4769347894762</v>
      </c>
      <c r="BV25" s="373">
        <f t="shared" si="18"/>
        <v>357.704115638036</v>
      </c>
      <c r="BW25" s="374">
        <f t="shared" si="19"/>
        <v>18242.909897539837</v>
      </c>
      <c r="BX25" s="378">
        <f t="shared" si="39"/>
        <v>0.19829999999999998</v>
      </c>
      <c r="BY25" s="9">
        <f t="shared" si="20"/>
        <v>2974.4999999999995</v>
      </c>
      <c r="BZ25" s="323">
        <f t="shared" si="21"/>
        <v>17974.5</v>
      </c>
      <c r="CA25" s="361"/>
    </row>
    <row r="26" spans="2:79" ht="17" thickBot="1">
      <c r="C26" s="322">
        <f t="shared" si="22"/>
        <v>2025</v>
      </c>
      <c r="D26" s="57">
        <f t="shared" si="23"/>
        <v>70</v>
      </c>
      <c r="E26" s="49">
        <f t="shared" si="40"/>
        <v>9</v>
      </c>
      <c r="F26" s="46">
        <f t="shared" si="41"/>
        <v>18242.909897539837</v>
      </c>
      <c r="G26" s="94">
        <f>IF(ISERROR(VLOOKUP(C26,'TABLES-ACTUAL &amp; FUTURE RATES'!$D$9:$F$80,2,FALSE)),0,VLOOKUP(C26,'TABLES-ACTUAL &amp; FUTURE RATES'!$D$9:$F$80,2,FALSE))</f>
        <v>0.02</v>
      </c>
      <c r="H26" s="5">
        <f t="shared" si="2"/>
        <v>364.85819795079675</v>
      </c>
      <c r="I26" s="5">
        <f t="shared" si="3"/>
        <v>18607.768095490635</v>
      </c>
      <c r="J26" s="317">
        <f t="shared" si="42"/>
        <v>0.89473684210526316</v>
      </c>
      <c r="K26" s="314">
        <f t="shared" si="43"/>
        <v>0.10526315789473684</v>
      </c>
      <c r="L26">
        <f t="shared" si="4"/>
        <v>2025</v>
      </c>
      <c r="M26" s="93">
        <f>IF(ISERROR(VLOOKUP(C26,'TABLES-ACTUAL &amp; FUTURE RATES'!$J$9:$K$80,2,FALSE)),0,VLOOKUP(C26,'TABLES-ACTUAL &amp; FUTURE RATES'!$J$9:$K$80,2,FALSE))</f>
        <v>0</v>
      </c>
      <c r="N26" s="7">
        <f t="shared" si="5"/>
        <v>32.244109046035518</v>
      </c>
      <c r="O26" s="47">
        <f t="shared" si="44"/>
        <v>15348.195905912909</v>
      </c>
      <c r="P26" s="8">
        <f t="shared" si="45"/>
        <v>136897.07020335586</v>
      </c>
      <c r="Q26" s="9">
        <f t="shared" si="6"/>
        <v>-3259.572189577726</v>
      </c>
      <c r="R26" s="48">
        <f t="shared" si="46"/>
        <v>-17225.401593866263</v>
      </c>
      <c r="T26" s="93">
        <f>IF(ISERROR(VLOOKUP(C26,'TABLES-ACTUAL &amp; FUTURE RATES'!$L$9:$M$80,2,FALSE)),0,VLOOKUP(C26,'TABLES-ACTUAL &amp; FUTURE RATES'!$L$9:$M$80,2,FALSE))</f>
        <v>0</v>
      </c>
      <c r="U26" s="7">
        <f t="shared" si="7"/>
        <v>32.532002876803695</v>
      </c>
      <c r="V26" s="47">
        <f t="shared" si="47"/>
        <v>15485.233369358559</v>
      </c>
      <c r="W26" s="9">
        <f t="shared" si="8"/>
        <v>-3122.5347261320767</v>
      </c>
      <c r="X26" s="48">
        <f t="shared" si="48"/>
        <v>-16543.087173106447</v>
      </c>
      <c r="Z26" s="93">
        <f>IF(ISERROR(VLOOKUP(C26,'TABLES-ACTUAL &amp; FUTURE RATES'!$N$9:$O$80,2,FALSE)),0,VLOOKUP(C26,'TABLES-ACTUAL &amp; FUTURE RATES'!$N$9:$O$80,2,FALSE))</f>
        <v>0.02</v>
      </c>
      <c r="AA26" s="7">
        <f t="shared" si="9"/>
        <v>317.35667977053868</v>
      </c>
      <c r="AB26" s="47">
        <f t="shared" si="49"/>
        <v>16185.190668297471</v>
      </c>
      <c r="AC26" s="9">
        <f t="shared" si="10"/>
        <v>-2422.5774271931641</v>
      </c>
      <c r="AD26" s="48">
        <f t="shared" si="50"/>
        <v>-14741.671650338216</v>
      </c>
      <c r="AF26" s="93">
        <f>IF(ISERROR(VLOOKUP(C26,'TABLES-ACTUAL &amp; FUTURE RATES'!$P$9:$Q$80,2,FALSE)),0,VLOOKUP(C26,'TABLES-ACTUAL &amp; FUTURE RATES'!$P$9:$Q$80,2,FALSE))</f>
        <v>0.01</v>
      </c>
      <c r="AG26" s="7">
        <f t="shared" si="11"/>
        <v>175.40879611865515</v>
      </c>
      <c r="AH26" s="47">
        <f t="shared" si="51"/>
        <v>16045.72844494936</v>
      </c>
      <c r="AI26" s="24">
        <f t="shared" si="12"/>
        <v>-2562.0396505412755</v>
      </c>
      <c r="AJ26" s="48">
        <f t="shared" si="52"/>
        <v>-15150.991686944384</v>
      </c>
      <c r="AL26" s="93">
        <f>IF(ISERROR(VLOOKUP(C26,'TABLES-ACTUAL &amp; FUTURE RATES'!$R$9:$S$80,2,FALSE)),0,VLOOKUP(C26,'TABLES-ACTUAL &amp; FUTURE RATES'!$R$9:$S$80,2,FALSE))</f>
        <v>0.01</v>
      </c>
      <c r="AM26" s="7">
        <f t="shared" si="13"/>
        <v>176.96108634979367</v>
      </c>
      <c r="AN26" s="47">
        <f t="shared" si="53"/>
        <v>16187.726041807317</v>
      </c>
      <c r="AO26" s="9">
        <f t="shared" si="14"/>
        <v>-2420.042053683319</v>
      </c>
      <c r="AP26" s="48">
        <f t="shared" si="54"/>
        <v>-14729.638797727719</v>
      </c>
      <c r="AR26" s="32">
        <f>IF(ISERROR(VLOOKUP(C26,'TABLES-ACTUAL &amp; FUTURE RATES'!$T$9:$V$80,3,FALSE)),0,VLOOKUP(C26,'TABLES-ACTUAL &amp; FUTURE RATES'!$T$9:$V$80,3,FALSE))</f>
        <v>1</v>
      </c>
      <c r="AS26" s="93">
        <f>IF(ISERROR(VLOOKUP(C26,'TABLES-ACTUAL &amp; FUTURE RATES'!$T$9:$U$80,2,FALSE)),0,VLOOKUP(C26,'TABLES-ACTUAL &amp; FUTURE RATES'!$T$9:$U$80,2,FALSE))</f>
        <v>0.02</v>
      </c>
      <c r="AT26" s="7">
        <f t="shared" si="15"/>
        <v>328.79204482604598</v>
      </c>
      <c r="AU26" s="47">
        <f t="shared" si="55"/>
        <v>16768.394286128343</v>
      </c>
      <c r="AV26" s="9">
        <f t="shared" si="16"/>
        <v>-1839.3738093622924</v>
      </c>
      <c r="AW26" s="48">
        <f t="shared" si="56"/>
        <v>-13026.72627886135</v>
      </c>
      <c r="AX26" s="259"/>
      <c r="AY26">
        <f t="shared" si="17"/>
        <v>70</v>
      </c>
      <c r="AZ26" s="9">
        <f t="shared" si="24"/>
        <v>15485.233369358559</v>
      </c>
      <c r="BA26" s="9">
        <f t="shared" si="25"/>
        <v>137.03746344564934</v>
      </c>
      <c r="BB26" s="9">
        <f t="shared" si="57"/>
        <v>137579.38462411569</v>
      </c>
      <c r="BC26" s="9">
        <f t="shared" si="26"/>
        <v>682.31442075982341</v>
      </c>
      <c r="BD26" s="9">
        <f t="shared" si="27"/>
        <v>16185.190668297471</v>
      </c>
      <c r="BE26" s="9">
        <f t="shared" si="28"/>
        <v>836.99476238456191</v>
      </c>
      <c r="BF26" s="9">
        <f t="shared" si="58"/>
        <v>139380.80014688394</v>
      </c>
      <c r="BG26" s="9">
        <f t="shared" si="29"/>
        <v>2483.7299435280729</v>
      </c>
      <c r="BH26" s="9">
        <f t="shared" si="30"/>
        <v>16045.72844494936</v>
      </c>
      <c r="BI26" s="9">
        <f t="shared" si="31"/>
        <v>697.53253903645054</v>
      </c>
      <c r="BJ26" s="9">
        <f t="shared" si="59"/>
        <v>138971.48011027777</v>
      </c>
      <c r="BK26" s="9">
        <f t="shared" si="32"/>
        <v>2074.4099069219083</v>
      </c>
      <c r="BL26" s="9">
        <f t="shared" si="33"/>
        <v>16187.726041807317</v>
      </c>
      <c r="BM26" s="9">
        <f t="shared" si="34"/>
        <v>839.53013589440707</v>
      </c>
      <c r="BN26" s="9">
        <f t="shared" si="60"/>
        <v>139392.83299949442</v>
      </c>
      <c r="BO26" s="9">
        <f t="shared" si="35"/>
        <v>2495.7627961385588</v>
      </c>
      <c r="BP26" s="9">
        <f t="shared" si="36"/>
        <v>16768.394286128343</v>
      </c>
      <c r="BQ26" s="9">
        <f t="shared" si="37"/>
        <v>1420.1983802154336</v>
      </c>
      <c r="BR26" s="9">
        <f t="shared" si="61"/>
        <v>141095.74551836078</v>
      </c>
      <c r="BS26" s="9">
        <f t="shared" si="38"/>
        <v>4198.675315004919</v>
      </c>
      <c r="BV26" s="373">
        <f t="shared" si="18"/>
        <v>364.85819795079675</v>
      </c>
      <c r="BW26" s="374">
        <f t="shared" si="19"/>
        <v>18607.768095490635</v>
      </c>
      <c r="BX26" s="378">
        <f t="shared" si="39"/>
        <v>0.21829999999999997</v>
      </c>
      <c r="BY26" s="9">
        <f t="shared" si="20"/>
        <v>3274.4999999999995</v>
      </c>
      <c r="BZ26" s="323">
        <f t="shared" si="21"/>
        <v>18274.5</v>
      </c>
      <c r="CA26" s="361"/>
    </row>
    <row r="27" spans="2:79" ht="17" thickBot="1">
      <c r="C27" s="322">
        <f t="shared" si="22"/>
        <v>2026</v>
      </c>
      <c r="D27" s="57">
        <f t="shared" si="23"/>
        <v>71</v>
      </c>
      <c r="E27" s="62">
        <f t="shared" si="40"/>
        <v>10</v>
      </c>
      <c r="F27" s="50">
        <f t="shared" si="41"/>
        <v>18607.768095490635</v>
      </c>
      <c r="G27" s="94">
        <f>IF(ISERROR(VLOOKUP(C27,'TABLES-ACTUAL &amp; FUTURE RATES'!$D$9:$F$80,2,FALSE)),0,VLOOKUP(C27,'TABLES-ACTUAL &amp; FUTURE RATES'!$D$9:$F$80,2,FALSE))</f>
        <v>0.02</v>
      </c>
      <c r="H27" s="5">
        <f t="shared" si="2"/>
        <v>372.15536190981271</v>
      </c>
      <c r="I27" s="5">
        <f t="shared" si="3"/>
        <v>18979.923457400448</v>
      </c>
      <c r="J27" s="317">
        <f t="shared" si="42"/>
        <v>0.89473684210526316</v>
      </c>
      <c r="K27" s="314">
        <f t="shared" si="43"/>
        <v>0.10526315789473684</v>
      </c>
      <c r="L27">
        <f t="shared" si="4"/>
        <v>2026</v>
      </c>
      <c r="M27" s="93">
        <f>IF(ISERROR(VLOOKUP(C27,'TABLES-ACTUAL &amp; FUTURE RATES'!$J$9:$K$80,2,FALSE)),0,VLOOKUP(C27,'TABLES-ACTUAL &amp; FUTURE RATES'!$J$9:$K$80,2,FALSE))</f>
        <v>0</v>
      </c>
      <c r="N27" s="7">
        <f t="shared" si="5"/>
        <v>32.31199138086928</v>
      </c>
      <c r="O27" s="52">
        <f t="shared" si="44"/>
        <v>15380.507897293779</v>
      </c>
      <c r="P27" s="8">
        <f t="shared" si="45"/>
        <v>152277.57810064964</v>
      </c>
      <c r="Q27" s="9">
        <f t="shared" si="6"/>
        <v>-3599.4155601066686</v>
      </c>
      <c r="R27" s="53">
        <f t="shared" si="46"/>
        <v>-20824.81715397293</v>
      </c>
      <c r="S27" s="51"/>
      <c r="T27" s="93">
        <f>IF(ISERROR(VLOOKUP(C27,'TABLES-ACTUAL &amp; FUTURE RATES'!$L$9:$M$80,2,FALSE)),0,VLOOKUP(C27,'TABLES-ACTUAL &amp; FUTURE RATES'!$L$9:$M$80,2,FALSE))</f>
        <v>0</v>
      </c>
      <c r="U27" s="7">
        <f t="shared" si="7"/>
        <v>32.600491303912754</v>
      </c>
      <c r="V27" s="52">
        <f t="shared" si="47"/>
        <v>15517.833860662471</v>
      </c>
      <c r="W27" s="9">
        <f t="shared" si="8"/>
        <v>-3462.0895967379765</v>
      </c>
      <c r="X27" s="53">
        <f t="shared" si="48"/>
        <v>-20005.176769844424</v>
      </c>
      <c r="Y27" s="51"/>
      <c r="Z27" s="93">
        <f>IF(ISERROR(VLOOKUP(C27,'TABLES-ACTUAL &amp; FUTURE RATES'!$N$9:$O$80,2,FALSE)),0,VLOOKUP(C27,'TABLES-ACTUAL &amp; FUTURE RATES'!$N$9:$O$80,2,FALSE))</f>
        <v>0</v>
      </c>
      <c r="AA27" s="7">
        <f t="shared" si="9"/>
        <v>34.074085617468356</v>
      </c>
      <c r="AB27" s="52">
        <f t="shared" si="49"/>
        <v>16219.26475391494</v>
      </c>
      <c r="AC27" s="9">
        <f t="shared" si="10"/>
        <v>-2760.6587034855074</v>
      </c>
      <c r="AD27" s="53">
        <f t="shared" si="50"/>
        <v>-17502.330353823723</v>
      </c>
      <c r="AE27" s="51"/>
      <c r="AF27" s="93">
        <f>IF(ISERROR(VLOOKUP(C27,'TABLES-ACTUAL &amp; FUTURE RATES'!$P$9:$Q$80,2,FALSE)),0,VLOOKUP(C27,'TABLES-ACTUAL &amp; FUTURE RATES'!$P$9:$Q$80,2,FALSE))</f>
        <v>0.01</v>
      </c>
      <c r="AG27" s="7">
        <f t="shared" si="11"/>
        <v>177.34752491786136</v>
      </c>
      <c r="AH27" s="52">
        <f t="shared" si="51"/>
        <v>16223.075969867221</v>
      </c>
      <c r="AI27" s="24">
        <f t="shared" si="12"/>
        <v>-2756.8474875332267</v>
      </c>
      <c r="AJ27" s="53">
        <f t="shared" si="52"/>
        <v>-17907.839174477609</v>
      </c>
      <c r="AK27" s="51"/>
      <c r="AL27" s="93">
        <f>IF(ISERROR(VLOOKUP(C27,'TABLES-ACTUAL &amp; FUTURE RATES'!$R$9:$S$80,2,FALSE)),0,VLOOKUP(C27,'TABLES-ACTUAL &amp; FUTURE RATES'!$R$9:$S$80,2,FALSE))</f>
        <v>0.02</v>
      </c>
      <c r="AM27" s="7">
        <f t="shared" si="13"/>
        <v>323.75452083614636</v>
      </c>
      <c r="AN27" s="52">
        <f t="shared" si="53"/>
        <v>16511.480562643465</v>
      </c>
      <c r="AO27" s="9">
        <f t="shared" si="14"/>
        <v>-2468.4428947569832</v>
      </c>
      <c r="AP27" s="53">
        <f t="shared" si="54"/>
        <v>-17198.081692484702</v>
      </c>
      <c r="AQ27" s="51"/>
      <c r="AR27" s="32">
        <f>IF(ISERROR(VLOOKUP(C27,'TABLES-ACTUAL &amp; FUTURE RATES'!$T$9:$V$80,3,FALSE)),0,VLOOKUP(C27,'TABLES-ACTUAL &amp; FUTURE RATES'!$T$9:$V$80,3,FALSE))</f>
        <v>0.75</v>
      </c>
      <c r="AS27" s="93">
        <f>IF(ISERROR(VLOOKUP(C27,'TABLES-ACTUAL &amp; FUTURE RATES'!$T$9:$U$80,2,FALSE)),0,VLOOKUP(C27,'TABLES-ACTUAL &amp; FUTURE RATES'!$T$9:$U$80,2,FALSE))</f>
        <v>1.4999999999999999E-2</v>
      </c>
      <c r="AT27" s="7">
        <f t="shared" si="15"/>
        <v>260.35138496883479</v>
      </c>
      <c r="AU27" s="52">
        <f t="shared" si="55"/>
        <v>17028.745671097178</v>
      </c>
      <c r="AV27" s="9">
        <f t="shared" si="16"/>
        <v>-1951.1777863032694</v>
      </c>
      <c r="AW27" s="54">
        <f t="shared" si="56"/>
        <v>-14977.904065164619</v>
      </c>
      <c r="AX27" s="259"/>
      <c r="AY27">
        <f t="shared" si="17"/>
        <v>71</v>
      </c>
      <c r="AZ27" s="9">
        <f t="shared" si="24"/>
        <v>15517.833860662471</v>
      </c>
      <c r="BA27" s="9">
        <f t="shared" si="25"/>
        <v>137.3259633686921</v>
      </c>
      <c r="BB27" s="9">
        <f t="shared" si="57"/>
        <v>153097.21848477816</v>
      </c>
      <c r="BC27" s="9">
        <f t="shared" si="26"/>
        <v>819.64038412852096</v>
      </c>
      <c r="BD27" s="9">
        <f t="shared" si="27"/>
        <v>16219.26475391494</v>
      </c>
      <c r="BE27" s="9">
        <f t="shared" si="28"/>
        <v>838.75685662116121</v>
      </c>
      <c r="BF27" s="9">
        <f t="shared" si="58"/>
        <v>155600.06490079887</v>
      </c>
      <c r="BG27" s="9">
        <f t="shared" si="29"/>
        <v>3322.4868001492287</v>
      </c>
      <c r="BH27" s="9">
        <f t="shared" si="30"/>
        <v>16223.075969867221</v>
      </c>
      <c r="BI27" s="9">
        <f t="shared" si="31"/>
        <v>842.5680725734419</v>
      </c>
      <c r="BJ27" s="9">
        <f t="shared" si="59"/>
        <v>155194.556080145</v>
      </c>
      <c r="BK27" s="9">
        <f t="shared" si="32"/>
        <v>2916.9779794953647</v>
      </c>
      <c r="BL27" s="9">
        <f t="shared" si="33"/>
        <v>16511.480562643465</v>
      </c>
      <c r="BM27" s="9">
        <f t="shared" si="34"/>
        <v>1130.9726653496855</v>
      </c>
      <c r="BN27" s="9">
        <f t="shared" si="60"/>
        <v>155904.31356213789</v>
      </c>
      <c r="BO27" s="9">
        <f t="shared" si="35"/>
        <v>3626.7354614882497</v>
      </c>
      <c r="BP27" s="9">
        <f t="shared" si="36"/>
        <v>17028.745671097178</v>
      </c>
      <c r="BQ27" s="9">
        <f t="shared" si="37"/>
        <v>1648.2377738033993</v>
      </c>
      <c r="BR27" s="9">
        <f t="shared" si="61"/>
        <v>158124.49118945797</v>
      </c>
      <c r="BS27" s="9">
        <f t="shared" si="38"/>
        <v>5846.9130888083309</v>
      </c>
      <c r="BV27" s="373">
        <f t="shared" si="18"/>
        <v>372.15536190981271</v>
      </c>
      <c r="BW27" s="374">
        <f t="shared" si="19"/>
        <v>18979.923457400448</v>
      </c>
      <c r="BX27" s="378">
        <f t="shared" si="39"/>
        <v>0.23829999999999996</v>
      </c>
      <c r="BY27" s="9">
        <f t="shared" si="20"/>
        <v>3574.4999999999995</v>
      </c>
      <c r="BZ27" s="323">
        <f t="shared" si="21"/>
        <v>18574.5</v>
      </c>
      <c r="CA27" s="361"/>
    </row>
    <row r="28" spans="2:79" ht="17" thickBot="1">
      <c r="C28" s="322">
        <f t="shared" si="22"/>
        <v>2027</v>
      </c>
      <c r="D28" s="57">
        <f t="shared" si="23"/>
        <v>72</v>
      </c>
      <c r="E28" s="63">
        <f t="shared" si="40"/>
        <v>11</v>
      </c>
      <c r="F28" s="10">
        <f t="shared" si="41"/>
        <v>18979.923457400448</v>
      </c>
      <c r="G28" s="94">
        <f>IF(ISERROR(VLOOKUP(C28,'TABLES-ACTUAL &amp; FUTURE RATES'!$D$9:$F$80,2,FALSE)),0,VLOOKUP(C28,'TABLES-ACTUAL &amp; FUTURE RATES'!$D$9:$F$80,2,FALSE))</f>
        <v>0.02</v>
      </c>
      <c r="H28" s="5">
        <f t="shared" si="2"/>
        <v>379.59846914800897</v>
      </c>
      <c r="I28" s="5">
        <f t="shared" si="3"/>
        <v>19359.521926548456</v>
      </c>
      <c r="J28" s="317">
        <f t="shared" si="42"/>
        <v>0.89473684210526316</v>
      </c>
      <c r="K28" s="314">
        <f t="shared" si="43"/>
        <v>0.10526315789473684</v>
      </c>
      <c r="L28">
        <f t="shared" si="4"/>
        <v>2027</v>
      </c>
      <c r="M28" s="93">
        <f>IF(ISERROR(VLOOKUP(C28,'TABLES-ACTUAL &amp; FUTURE RATES'!$J$9:$K$80,2,FALSE)),0,VLOOKUP(C28,'TABLES-ACTUAL &amp; FUTURE RATES'!$J$9:$K$80,2,FALSE))</f>
        <v>0</v>
      </c>
      <c r="N28" s="7">
        <f t="shared" si="5"/>
        <v>32.380016625881638</v>
      </c>
      <c r="O28" s="23">
        <f t="shared" si="44"/>
        <v>15412.887913919662</v>
      </c>
      <c r="P28" s="8">
        <f t="shared" si="45"/>
        <v>167690.46601456931</v>
      </c>
      <c r="Q28" s="9">
        <f t="shared" si="6"/>
        <v>-3946.6340126287942</v>
      </c>
      <c r="R28" s="24">
        <f t="shared" si="46"/>
        <v>-24771.451166601724</v>
      </c>
      <c r="T28" s="93">
        <f>IF(ISERROR(VLOOKUP(C28,'TABLES-ACTUAL &amp; FUTURE RATES'!$L$9:$M$80,2,FALSE)),0,VLOOKUP(C28,'TABLES-ACTUAL &amp; FUTURE RATES'!$L$9:$M$80,2,FALSE))</f>
        <v>0</v>
      </c>
      <c r="U28" s="7">
        <f t="shared" si="7"/>
        <v>32.669123917184145</v>
      </c>
      <c r="V28" s="23">
        <f t="shared" si="47"/>
        <v>15550.502984579654</v>
      </c>
      <c r="W28" s="9">
        <f t="shared" si="8"/>
        <v>-3809.0189419688013</v>
      </c>
      <c r="X28" s="24">
        <f t="shared" si="48"/>
        <v>-23814.195711813227</v>
      </c>
      <c r="Z28" s="93">
        <f>IF(ISERROR(VLOOKUP(C28,'TABLES-ACTUAL &amp; FUTURE RATES'!$N$9:$O$80,2,FALSE)),0,VLOOKUP(C28,'TABLES-ACTUAL &amp; FUTURE RATES'!$N$9:$O$80,2,FALSE))</f>
        <v>0.02</v>
      </c>
      <c r="AA28" s="7">
        <f t="shared" si="9"/>
        <v>324.38529507829878</v>
      </c>
      <c r="AB28" s="23">
        <f t="shared" si="49"/>
        <v>16543.65004899324</v>
      </c>
      <c r="AC28" s="9">
        <f t="shared" si="10"/>
        <v>-2815.8718775552152</v>
      </c>
      <c r="AD28" s="24">
        <f t="shared" si="50"/>
        <v>-20318.202231378938</v>
      </c>
      <c r="AF28" s="93">
        <f>IF(ISERROR(VLOOKUP(C28,'TABLES-ACTUAL &amp; FUTURE RATES'!$P$9:$Q$80,2,FALSE)),0,VLOOKUP(C28,'TABLES-ACTUAL &amp; FUTURE RATES'!$P$9:$Q$80,2,FALSE))</f>
        <v>0.01</v>
      </c>
      <c r="AG28" s="7">
        <f t="shared" si="11"/>
        <v>179.30768177221665</v>
      </c>
      <c r="AH28" s="23">
        <f t="shared" si="51"/>
        <v>16402.383651639437</v>
      </c>
      <c r="AI28" s="24">
        <f t="shared" si="12"/>
        <v>-2957.1382749090189</v>
      </c>
      <c r="AJ28" s="24">
        <f t="shared" si="52"/>
        <v>-20864.977449386628</v>
      </c>
      <c r="AL28" s="93">
        <f>IF(ISERROR(VLOOKUP(C28,'TABLES-ACTUAL &amp; FUTURE RATES'!$R$9:$S$80,2,FALSE)),0,VLOOKUP(C28,'TABLES-ACTUAL &amp; FUTURE RATES'!$R$9:$S$80,2,FALSE))</f>
        <v>0.01</v>
      </c>
      <c r="AM28" s="7">
        <f t="shared" si="13"/>
        <v>182.4953114818488</v>
      </c>
      <c r="AN28" s="23">
        <f t="shared" si="53"/>
        <v>16693.975874125314</v>
      </c>
      <c r="AO28" s="9">
        <f t="shared" si="14"/>
        <v>-2665.5460524231421</v>
      </c>
      <c r="AP28" s="24">
        <f t="shared" si="54"/>
        <v>-19863.627744907844</v>
      </c>
      <c r="AR28" s="32">
        <f>IF(ISERROR(VLOOKUP(C28,'TABLES-ACTUAL &amp; FUTURE RATES'!$T$9:$V$80,3,FALSE)),0,VLOOKUP(C28,'TABLES-ACTUAL &amp; FUTURE RATES'!$T$9:$V$80,3,FALSE))</f>
        <v>0.75</v>
      </c>
      <c r="AS28" s="93">
        <f>IF(ISERROR(VLOOKUP(C28,'TABLES-ACTUAL &amp; FUTURE RATES'!$T$9:$U$80,2,FALSE)),0,VLOOKUP(C28,'TABLES-ACTUAL &amp; FUTURE RATES'!$T$9:$U$80,2,FALSE))</f>
        <v>1.4999999999999999E-2</v>
      </c>
      <c r="AT28" s="7">
        <f t="shared" si="15"/>
        <v>264.39368278808774</v>
      </c>
      <c r="AU28" s="23">
        <f t="shared" si="55"/>
        <v>17293.139353885264</v>
      </c>
      <c r="AV28" s="9">
        <f t="shared" si="16"/>
        <v>-2066.3825726631912</v>
      </c>
      <c r="AW28" s="24">
        <f t="shared" si="56"/>
        <v>-17044.286637827812</v>
      </c>
      <c r="AX28" s="259"/>
      <c r="AY28">
        <f t="shared" si="17"/>
        <v>72</v>
      </c>
      <c r="AZ28" s="9">
        <f t="shared" si="24"/>
        <v>15550.502984579654</v>
      </c>
      <c r="BA28" s="9">
        <f t="shared" si="25"/>
        <v>137.61507065999285</v>
      </c>
      <c r="BB28" s="9">
        <f t="shared" si="57"/>
        <v>168647.72146935781</v>
      </c>
      <c r="BC28" s="9">
        <f t="shared" si="26"/>
        <v>957.25545478850836</v>
      </c>
      <c r="BD28" s="9">
        <f t="shared" si="27"/>
        <v>16543.65004899324</v>
      </c>
      <c r="BE28" s="9">
        <f t="shared" si="28"/>
        <v>1130.762135073579</v>
      </c>
      <c r="BF28" s="9">
        <f t="shared" si="58"/>
        <v>172143.71494979211</v>
      </c>
      <c r="BG28" s="9">
        <f t="shared" si="29"/>
        <v>4453.2489352228004</v>
      </c>
      <c r="BH28" s="9">
        <f t="shared" si="30"/>
        <v>16402.383651639437</v>
      </c>
      <c r="BI28" s="9">
        <f t="shared" si="31"/>
        <v>989.49573771977521</v>
      </c>
      <c r="BJ28" s="9">
        <f t="shared" si="59"/>
        <v>171596.93973178446</v>
      </c>
      <c r="BK28" s="9">
        <f t="shared" si="32"/>
        <v>3906.4737172151508</v>
      </c>
      <c r="BL28" s="9">
        <f t="shared" si="33"/>
        <v>16693.975874125314</v>
      </c>
      <c r="BM28" s="9">
        <f t="shared" si="34"/>
        <v>1281.0879602056521</v>
      </c>
      <c r="BN28" s="9">
        <f t="shared" si="60"/>
        <v>172598.28943626321</v>
      </c>
      <c r="BO28" s="9">
        <f t="shared" si="35"/>
        <v>4907.8234216939018</v>
      </c>
      <c r="BP28" s="9">
        <f t="shared" si="36"/>
        <v>17293.139353885264</v>
      </c>
      <c r="BQ28" s="9">
        <f t="shared" si="37"/>
        <v>1880.2514399656029</v>
      </c>
      <c r="BR28" s="9">
        <f t="shared" si="61"/>
        <v>175417.63054334323</v>
      </c>
      <c r="BS28" s="9">
        <f t="shared" si="38"/>
        <v>7727.1645287739229</v>
      </c>
      <c r="BV28" s="373">
        <f t="shared" si="18"/>
        <v>379.59846914800897</v>
      </c>
      <c r="BW28" s="374">
        <f t="shared" si="19"/>
        <v>19359.521926548456</v>
      </c>
      <c r="BX28" s="378">
        <f t="shared" si="39"/>
        <v>0.25829999999999997</v>
      </c>
      <c r="BY28" s="9">
        <f t="shared" si="20"/>
        <v>3874.4999999999995</v>
      </c>
      <c r="BZ28" s="323">
        <f t="shared" si="21"/>
        <v>18874.5</v>
      </c>
      <c r="CA28" s="361"/>
    </row>
    <row r="29" spans="2:79" ht="17" thickBot="1">
      <c r="C29" s="322">
        <f t="shared" si="22"/>
        <v>2028</v>
      </c>
      <c r="D29" s="57">
        <f t="shared" si="23"/>
        <v>73</v>
      </c>
      <c r="E29" s="31">
        <f t="shared" si="40"/>
        <v>12</v>
      </c>
      <c r="F29" s="5">
        <f t="shared" si="41"/>
        <v>19359.521926548456</v>
      </c>
      <c r="G29" s="94">
        <f>IF(ISERROR(VLOOKUP(C29,'TABLES-ACTUAL &amp; FUTURE RATES'!$D$9:$F$80,2,FALSE)),0,VLOOKUP(C29,'TABLES-ACTUAL &amp; FUTURE RATES'!$D$9:$F$80,2,FALSE))</f>
        <v>0.02</v>
      </c>
      <c r="H29" s="5">
        <f t="shared" si="2"/>
        <v>387.19043853096912</v>
      </c>
      <c r="I29" s="5">
        <f t="shared" si="3"/>
        <v>19746.712365079424</v>
      </c>
      <c r="J29" s="317">
        <f t="shared" si="42"/>
        <v>0.89473684210526316</v>
      </c>
      <c r="K29" s="314">
        <f t="shared" si="43"/>
        <v>0.10526315789473684</v>
      </c>
      <c r="L29">
        <f t="shared" si="4"/>
        <v>2028</v>
      </c>
      <c r="M29" s="93">
        <f>IF(ISERROR(VLOOKUP(C29,'TABLES-ACTUAL &amp; FUTURE RATES'!$J$9:$K$80,2,FALSE)),0,VLOOKUP(C29,'TABLES-ACTUAL &amp; FUTURE RATES'!$J$9:$K$80,2,FALSE))</f>
        <v>0</v>
      </c>
      <c r="N29" s="7">
        <f t="shared" si="5"/>
        <v>32.448185081936124</v>
      </c>
      <c r="O29" s="8">
        <f t="shared" si="44"/>
        <v>15445.336099001597</v>
      </c>
      <c r="P29" s="8">
        <f t="shared" si="45"/>
        <v>183135.80211357091</v>
      </c>
      <c r="Q29" s="9">
        <f t="shared" si="6"/>
        <v>-4301.3762660778266</v>
      </c>
      <c r="R29" s="9">
        <f t="shared" si="46"/>
        <v>-29072.827432679551</v>
      </c>
      <c r="T29" s="93">
        <f>IF(ISERROR(VLOOKUP(C29,'TABLES-ACTUAL &amp; FUTURE RATES'!$L$9:$M$80,2,FALSE)),0,VLOOKUP(C29,'TABLES-ACTUAL &amp; FUTURE RATES'!$L$9:$M$80,2,FALSE))</f>
        <v>0</v>
      </c>
      <c r="U29" s="7">
        <f t="shared" si="7"/>
        <v>32.737901020167691</v>
      </c>
      <c r="V29" s="8">
        <f t="shared" si="47"/>
        <v>15583.240885599822</v>
      </c>
      <c r="W29" s="9">
        <f t="shared" si="8"/>
        <v>-4163.4714794796018</v>
      </c>
      <c r="X29" s="9">
        <f t="shared" si="48"/>
        <v>-27977.667191292829</v>
      </c>
      <c r="Z29" s="93">
        <f>IF(ISERROR(VLOOKUP(C29,'TABLES-ACTUAL &amp; FUTURE RATES'!$N$9:$O$80,2,FALSE)),0,VLOOKUP(C29,'TABLES-ACTUAL &amp; FUTURE RATES'!$N$9:$O$80,2,FALSE))</f>
        <v>0</v>
      </c>
      <c r="AA29" s="7">
        <f t="shared" si="9"/>
        <v>34.828736945248927</v>
      </c>
      <c r="AB29" s="8">
        <f t="shared" si="49"/>
        <v>16578.478785938489</v>
      </c>
      <c r="AC29" s="9">
        <f t="shared" si="10"/>
        <v>-3168.233579140935</v>
      </c>
      <c r="AD29" s="9">
        <f t="shared" si="50"/>
        <v>-23486.435810519873</v>
      </c>
      <c r="AF29" s="93">
        <f>IF(ISERROR(VLOOKUP(C29,'TABLES-ACTUAL &amp; FUTURE RATES'!$P$9:$Q$80,2,FALSE)),0,VLOOKUP(C29,'TABLES-ACTUAL &amp; FUTURE RATES'!$P$9:$Q$80,2,FALSE))</f>
        <v>0.01</v>
      </c>
      <c r="AG29" s="7">
        <f t="shared" si="11"/>
        <v>181.28950351812009</v>
      </c>
      <c r="AH29" s="8">
        <f t="shared" si="51"/>
        <v>16583.673155157558</v>
      </c>
      <c r="AI29" s="24">
        <f t="shared" si="12"/>
        <v>-3163.0392099218661</v>
      </c>
      <c r="AJ29" s="9">
        <f t="shared" si="52"/>
        <v>-24028.016659308494</v>
      </c>
      <c r="AL29" s="93">
        <f>IF(ISERROR(VLOOKUP(C29,'TABLES-ACTUAL &amp; FUTURE RATES'!$R$9:$S$80,2,FALSE)),0,VLOOKUP(C29,'TABLES-ACTUAL &amp; FUTURE RATES'!$R$9:$S$80,2,FALSE))</f>
        <v>0.01</v>
      </c>
      <c r="AM29" s="7">
        <f t="shared" si="13"/>
        <v>184.51236492454294</v>
      </c>
      <c r="AN29" s="8">
        <f t="shared" si="53"/>
        <v>16878.488239049857</v>
      </c>
      <c r="AO29" s="9">
        <f t="shared" si="14"/>
        <v>-2868.2241260295668</v>
      </c>
      <c r="AP29" s="9">
        <f t="shared" si="54"/>
        <v>-22731.851870937411</v>
      </c>
      <c r="AR29" s="32">
        <f>IF(ISERROR(VLOOKUP(C29,'TABLES-ACTUAL &amp; FUTURE RATES'!$T$9:$V$80,3,FALSE)),0,VLOOKUP(C29,'TABLES-ACTUAL &amp; FUTURE RATES'!$T$9:$V$80,3,FALSE))</f>
        <v>0.75</v>
      </c>
      <c r="AS29" s="93">
        <f>IF(ISERROR(VLOOKUP(C29,'TABLES-ACTUAL &amp; FUTURE RATES'!$T$9:$U$80,2,FALSE)),0,VLOOKUP(C29,'TABLES-ACTUAL &amp; FUTURE RATES'!$T$9:$U$80,2,FALSE))</f>
        <v>1.4999999999999999E-2</v>
      </c>
      <c r="AT29" s="7">
        <f t="shared" si="15"/>
        <v>268.49874259979754</v>
      </c>
      <c r="AU29" s="8">
        <f t="shared" si="55"/>
        <v>17561.638096485061</v>
      </c>
      <c r="AV29" s="9">
        <f t="shared" si="16"/>
        <v>-2185.0742685943624</v>
      </c>
      <c r="AW29" s="9">
        <f t="shared" si="56"/>
        <v>-19229.360906422175</v>
      </c>
      <c r="AX29" s="259"/>
      <c r="AY29">
        <f t="shared" si="17"/>
        <v>73</v>
      </c>
      <c r="AZ29" s="9">
        <f t="shared" si="24"/>
        <v>15583.240885599822</v>
      </c>
      <c r="BA29" s="9">
        <f t="shared" si="25"/>
        <v>137.90478659822475</v>
      </c>
      <c r="BB29" s="9">
        <f t="shared" si="57"/>
        <v>184230.96235495765</v>
      </c>
      <c r="BC29" s="9">
        <f t="shared" si="26"/>
        <v>1095.1602413867367</v>
      </c>
      <c r="BD29" s="9">
        <f t="shared" si="27"/>
        <v>16578.478785938489</v>
      </c>
      <c r="BE29" s="9">
        <f t="shared" si="28"/>
        <v>1133.1426869368916</v>
      </c>
      <c r="BF29" s="9">
        <f t="shared" si="58"/>
        <v>188722.1937357306</v>
      </c>
      <c r="BG29" s="9">
        <f t="shared" si="29"/>
        <v>5586.3916221596883</v>
      </c>
      <c r="BH29" s="9">
        <f t="shared" si="30"/>
        <v>16583.673155157558</v>
      </c>
      <c r="BI29" s="9">
        <f t="shared" si="31"/>
        <v>1138.3370561559605</v>
      </c>
      <c r="BJ29" s="9">
        <f t="shared" si="59"/>
        <v>188180.61288694202</v>
      </c>
      <c r="BK29" s="9">
        <f t="shared" si="32"/>
        <v>5044.8107733711076</v>
      </c>
      <c r="BL29" s="9">
        <f t="shared" si="33"/>
        <v>16878.488239049857</v>
      </c>
      <c r="BM29" s="9">
        <f t="shared" si="34"/>
        <v>1433.1521400482598</v>
      </c>
      <c r="BN29" s="9">
        <f t="shared" si="60"/>
        <v>189476.77767531306</v>
      </c>
      <c r="BO29" s="9">
        <f t="shared" si="35"/>
        <v>6340.975561742147</v>
      </c>
      <c r="BP29" s="9">
        <f t="shared" si="36"/>
        <v>17561.638096485061</v>
      </c>
      <c r="BQ29" s="9">
        <f t="shared" si="37"/>
        <v>2116.3019974834642</v>
      </c>
      <c r="BR29" s="9">
        <f t="shared" si="61"/>
        <v>192979.26863982828</v>
      </c>
      <c r="BS29" s="9">
        <f t="shared" si="38"/>
        <v>9843.466526257369</v>
      </c>
      <c r="BV29" s="373">
        <f t="shared" si="18"/>
        <v>387.19043853096912</v>
      </c>
      <c r="BW29" s="374">
        <f t="shared" si="19"/>
        <v>19746.712365079424</v>
      </c>
      <c r="BX29" s="378">
        <f t="shared" si="39"/>
        <v>0.27829999999999999</v>
      </c>
      <c r="BY29" s="9">
        <f t="shared" si="20"/>
        <v>4174.5</v>
      </c>
      <c r="BZ29" s="323">
        <f t="shared" si="21"/>
        <v>19174.5</v>
      </c>
      <c r="CA29" s="361"/>
    </row>
    <row r="30" spans="2:79" ht="17" thickBot="1">
      <c r="C30" s="322">
        <f t="shared" si="22"/>
        <v>2029</v>
      </c>
      <c r="D30" s="57">
        <f t="shared" si="23"/>
        <v>74</v>
      </c>
      <c r="E30" s="31">
        <f t="shared" si="40"/>
        <v>13</v>
      </c>
      <c r="F30" s="5">
        <f t="shared" si="41"/>
        <v>19746.712365079424</v>
      </c>
      <c r="G30" s="94">
        <f>IF(ISERROR(VLOOKUP(C30,'TABLES-ACTUAL &amp; FUTURE RATES'!$D$9:$F$80,2,FALSE)),0,VLOOKUP(C30,'TABLES-ACTUAL &amp; FUTURE RATES'!$D$9:$F$80,2,FALSE))</f>
        <v>0.02</v>
      </c>
      <c r="H30" s="5">
        <f t="shared" si="2"/>
        <v>394.93424730158847</v>
      </c>
      <c r="I30" s="5">
        <f t="shared" si="3"/>
        <v>20141.646612381013</v>
      </c>
      <c r="J30" s="317">
        <f t="shared" si="42"/>
        <v>0.89473684210526316</v>
      </c>
      <c r="K30" s="314">
        <f t="shared" si="43"/>
        <v>0.10526315789473684</v>
      </c>
      <c r="L30">
        <f t="shared" si="4"/>
        <v>2029</v>
      </c>
      <c r="M30" s="93">
        <f>IF(ISERROR(VLOOKUP(C30,'TABLES-ACTUAL &amp; FUTURE RATES'!$J$9:$K$80,2,FALSE)),0,VLOOKUP(C30,'TABLES-ACTUAL &amp; FUTURE RATES'!$J$9:$K$80,2,FALSE))</f>
        <v>0</v>
      </c>
      <c r="N30" s="7">
        <f t="shared" si="5"/>
        <v>32.516497050529672</v>
      </c>
      <c r="O30" s="8">
        <f t="shared" si="44"/>
        <v>15477.852596052127</v>
      </c>
      <c r="P30" s="8">
        <f t="shared" si="45"/>
        <v>198613.65470962305</v>
      </c>
      <c r="Q30" s="9">
        <f t="shared" si="6"/>
        <v>-4663.7940163288858</v>
      </c>
      <c r="R30" s="9">
        <f t="shared" si="46"/>
        <v>-33736.621449008439</v>
      </c>
      <c r="T30" s="93">
        <f>IF(ISERROR(VLOOKUP(C30,'TABLES-ACTUAL &amp; FUTURE RATES'!$L$9:$M$80,2,FALSE)),0,VLOOKUP(C30,'TABLES-ACTUAL &amp; FUTURE RATES'!$L$9:$M$80,2,FALSE))</f>
        <v>0</v>
      </c>
      <c r="U30" s="7">
        <f t="shared" si="7"/>
        <v>32.806822917052259</v>
      </c>
      <c r="V30" s="8">
        <f t="shared" si="47"/>
        <v>15616.047708516875</v>
      </c>
      <c r="W30" s="9">
        <f t="shared" si="8"/>
        <v>-4525.5989038641383</v>
      </c>
      <c r="X30" s="9">
        <f t="shared" si="48"/>
        <v>-32503.266095156967</v>
      </c>
      <c r="Z30" s="93">
        <f>IF(ISERROR(VLOOKUP(C30,'TABLES-ACTUAL &amp; FUTURE RATES'!$N$9:$O$80,2,FALSE)),0,VLOOKUP(C30,'TABLES-ACTUAL &amp; FUTURE RATES'!$N$9:$O$80,2,FALSE))</f>
        <v>0.02</v>
      </c>
      <c r="AA30" s="7">
        <f t="shared" si="9"/>
        <v>331.56957571876978</v>
      </c>
      <c r="AB30" s="8">
        <f t="shared" si="49"/>
        <v>16910.04836165726</v>
      </c>
      <c r="AC30" s="9">
        <f t="shared" si="10"/>
        <v>-3231.5982507237532</v>
      </c>
      <c r="AD30" s="9">
        <f t="shared" si="50"/>
        <v>-26718.034061243627</v>
      </c>
      <c r="AF30" s="93">
        <f>IF(ISERROR(VLOOKUP(C30,'TABLES-ACTUAL &amp; FUTURE RATES'!$P$9:$Q$80,2,FALSE)),0,VLOOKUP(C30,'TABLES-ACTUAL &amp; FUTURE RATES'!$P$9:$Q$80,2,FALSE))</f>
        <v>0.01</v>
      </c>
      <c r="AG30" s="7">
        <f t="shared" si="11"/>
        <v>183.29322960963617</v>
      </c>
      <c r="AH30" s="8">
        <f t="shared" si="51"/>
        <v>16766.966384767195</v>
      </c>
      <c r="AI30" s="24">
        <f t="shared" si="12"/>
        <v>-3374.6802276138187</v>
      </c>
      <c r="AJ30" s="9">
        <f t="shared" si="52"/>
        <v>-27402.696886922313</v>
      </c>
      <c r="AL30" s="93">
        <f>IF(ISERROR(VLOOKUP(C30,'TABLES-ACTUAL &amp; FUTURE RATES'!$R$9:$S$80,2,FALSE)),0,VLOOKUP(C30,'TABLES-ACTUAL &amp; FUTURE RATES'!$R$9:$S$80,2,FALSE))</f>
        <v>0.02</v>
      </c>
      <c r="AM30" s="7">
        <f t="shared" si="13"/>
        <v>337.5697647809971</v>
      </c>
      <c r="AN30" s="8">
        <f t="shared" si="53"/>
        <v>17216.058003830854</v>
      </c>
      <c r="AO30" s="9">
        <f t="shared" si="14"/>
        <v>-2925.5886085501588</v>
      </c>
      <c r="AP30" s="9">
        <f t="shared" si="54"/>
        <v>-25657.44047948757</v>
      </c>
      <c r="AR30" s="32">
        <f>IF(ISERROR(VLOOKUP(C30,'TABLES-ACTUAL &amp; FUTURE RATES'!$T$9:$V$80,3,FALSE)),0,VLOOKUP(C30,'TABLES-ACTUAL &amp; FUTURE RATES'!$T$9:$V$80,3,FALSE))</f>
        <v>0.75</v>
      </c>
      <c r="AS30" s="93">
        <f>IF(ISERROR(VLOOKUP(C30,'TABLES-ACTUAL &amp; FUTURE RATES'!$T$9:$U$80,2,FALSE)),0,VLOOKUP(C30,'TABLES-ACTUAL &amp; FUTURE RATES'!$T$9:$U$80,2,FALSE))</f>
        <v>1.4999999999999999E-2</v>
      </c>
      <c r="AT30" s="7">
        <f t="shared" si="15"/>
        <v>272.66753886647859</v>
      </c>
      <c r="AU30" s="8">
        <f t="shared" si="55"/>
        <v>17834.305635351539</v>
      </c>
      <c r="AV30" s="9">
        <f t="shared" si="16"/>
        <v>-2307.3409770294747</v>
      </c>
      <c r="AW30" s="9">
        <f t="shared" si="56"/>
        <v>-21536.701883451649</v>
      </c>
      <c r="AX30" s="259"/>
      <c r="AY30">
        <f t="shared" si="17"/>
        <v>74</v>
      </c>
      <c r="AZ30" s="9">
        <f t="shared" si="24"/>
        <v>15616.047708516875</v>
      </c>
      <c r="BA30" s="9">
        <f t="shared" si="25"/>
        <v>138.19511246474758</v>
      </c>
      <c r="BB30" s="9">
        <f t="shared" si="57"/>
        <v>199847.01006347453</v>
      </c>
      <c r="BC30" s="9">
        <f t="shared" si="26"/>
        <v>1233.3553538514825</v>
      </c>
      <c r="BD30" s="9">
        <f t="shared" si="27"/>
        <v>16910.04836165726</v>
      </c>
      <c r="BE30" s="9">
        <f t="shared" si="28"/>
        <v>1432.1957656051327</v>
      </c>
      <c r="BF30" s="9">
        <f t="shared" si="58"/>
        <v>205632.24209738785</v>
      </c>
      <c r="BG30" s="9">
        <f t="shared" si="29"/>
        <v>7018.5873877647973</v>
      </c>
      <c r="BH30" s="9">
        <f t="shared" si="30"/>
        <v>16766.966384767195</v>
      </c>
      <c r="BI30" s="9">
        <f t="shared" si="31"/>
        <v>1289.1137887150671</v>
      </c>
      <c r="BJ30" s="9">
        <f t="shared" si="59"/>
        <v>204947.57927170923</v>
      </c>
      <c r="BK30" s="9">
        <f t="shared" si="32"/>
        <v>6333.9245620861766</v>
      </c>
      <c r="BL30" s="9">
        <f t="shared" si="33"/>
        <v>17216.058003830854</v>
      </c>
      <c r="BM30" s="9">
        <f t="shared" si="34"/>
        <v>1738.205407778727</v>
      </c>
      <c r="BN30" s="9">
        <f t="shared" si="60"/>
        <v>206692.8356791439</v>
      </c>
      <c r="BO30" s="9">
        <f t="shared" si="35"/>
        <v>8079.1809695208503</v>
      </c>
      <c r="BP30" s="9">
        <f t="shared" si="36"/>
        <v>17834.305635351539</v>
      </c>
      <c r="BQ30" s="9">
        <f t="shared" si="37"/>
        <v>2356.4530392994111</v>
      </c>
      <c r="BR30" s="9">
        <f t="shared" si="61"/>
        <v>210813.57427517982</v>
      </c>
      <c r="BS30" s="9">
        <f t="shared" si="38"/>
        <v>12199.919565556775</v>
      </c>
      <c r="BV30" s="373">
        <f t="shared" si="18"/>
        <v>394.93424730158847</v>
      </c>
      <c r="BW30" s="374">
        <f t="shared" si="19"/>
        <v>20141.646612381013</v>
      </c>
      <c r="BX30" s="378">
        <f t="shared" si="39"/>
        <v>0.29830000000000001</v>
      </c>
      <c r="BY30" s="9">
        <f t="shared" si="20"/>
        <v>4474.5</v>
      </c>
      <c r="BZ30" s="323">
        <f t="shared" si="21"/>
        <v>19474.5</v>
      </c>
      <c r="CA30" s="361"/>
    </row>
    <row r="31" spans="2:79" ht="17" thickBot="1">
      <c r="C31" s="322">
        <f t="shared" si="22"/>
        <v>2030</v>
      </c>
      <c r="D31" s="57">
        <f t="shared" si="23"/>
        <v>75</v>
      </c>
      <c r="E31" s="49">
        <f t="shared" si="40"/>
        <v>14</v>
      </c>
      <c r="F31" s="46">
        <f t="shared" si="41"/>
        <v>20141.646612381013</v>
      </c>
      <c r="G31" s="94">
        <f>IF(ISERROR(VLOOKUP(C31,'TABLES-ACTUAL &amp; FUTURE RATES'!$D$9:$F$80,2,FALSE)),0,VLOOKUP(C31,'TABLES-ACTUAL &amp; FUTURE RATES'!$D$9:$F$80,2,FALSE))</f>
        <v>0.02</v>
      </c>
      <c r="H31" s="5">
        <f t="shared" si="2"/>
        <v>402.83293224762025</v>
      </c>
      <c r="I31" s="5">
        <f t="shared" si="3"/>
        <v>20544.479544628633</v>
      </c>
      <c r="J31" s="317">
        <f t="shared" si="42"/>
        <v>0.89473684210526316</v>
      </c>
      <c r="K31" s="314">
        <f t="shared" si="43"/>
        <v>0.10526315789473684</v>
      </c>
      <c r="L31">
        <f t="shared" si="4"/>
        <v>2030</v>
      </c>
      <c r="M31" s="93">
        <f>IF(ISERROR(VLOOKUP(C31,'TABLES-ACTUAL &amp; FUTURE RATES'!$J$9:$K$80,2,FALSE)),0,VLOOKUP(C31,'TABLES-ACTUAL &amp; FUTURE RATES'!$J$9:$K$80,2,FALSE))</f>
        <v>0</v>
      </c>
      <c r="N31" s="7">
        <f t="shared" si="5"/>
        <v>32.584952833793949</v>
      </c>
      <c r="O31" s="47">
        <f t="shared" si="44"/>
        <v>15510.43754888592</v>
      </c>
      <c r="P31" s="8">
        <f t="shared" si="45"/>
        <v>214124.09225850896</v>
      </c>
      <c r="Q31" s="9">
        <f t="shared" si="6"/>
        <v>-5034.041995742713</v>
      </c>
      <c r="R31" s="48">
        <f t="shared" si="46"/>
        <v>-38770.663444751153</v>
      </c>
      <c r="T31" s="93">
        <f>IF(ISERROR(VLOOKUP(C31,'TABLES-ACTUAL &amp; FUTURE RATES'!$L$9:$M$80,2,FALSE)),0,VLOOKUP(C31,'TABLES-ACTUAL &amp; FUTURE RATES'!$L$9:$M$80,2,FALSE))</f>
        <v>0</v>
      </c>
      <c r="U31" s="7">
        <f t="shared" si="7"/>
        <v>32.875889912667105</v>
      </c>
      <c r="V31" s="47">
        <f t="shared" si="47"/>
        <v>15648.923598429543</v>
      </c>
      <c r="W31" s="9">
        <f t="shared" si="8"/>
        <v>-4895.5559461990906</v>
      </c>
      <c r="X31" s="48">
        <f t="shared" si="48"/>
        <v>-37398.822041356056</v>
      </c>
      <c r="Z31" s="93">
        <f>IF(ISERROR(VLOOKUP(C31,'TABLES-ACTUAL &amp; FUTURE RATES'!$N$9:$O$80,2,FALSE)),0,VLOOKUP(C31,'TABLES-ACTUAL &amp; FUTURE RATES'!$N$9:$O$80,2,FALSE))</f>
        <v>0</v>
      </c>
      <c r="AA31" s="7">
        <f t="shared" si="9"/>
        <v>35.600101814015282</v>
      </c>
      <c r="AB31" s="47">
        <f t="shared" si="49"/>
        <v>16945.648463471276</v>
      </c>
      <c r="AC31" s="9">
        <f t="shared" si="10"/>
        <v>-3598.8310811573574</v>
      </c>
      <c r="AD31" s="48">
        <f t="shared" si="50"/>
        <v>-30316.865142400984</v>
      </c>
      <c r="AF31" s="93">
        <f>IF(ISERROR(VLOOKUP(C31,'TABLES-ACTUAL &amp; FUTURE RATES'!$P$9:$Q$80,2,FALSE)),0,VLOOKUP(C31,'TABLES-ACTUAL &amp; FUTURE RATES'!$P$9:$Q$80,2,FALSE))</f>
        <v>0.01</v>
      </c>
      <c r="AG31" s="7">
        <f t="shared" si="11"/>
        <v>185.31910214742686</v>
      </c>
      <c r="AH31" s="47">
        <f t="shared" si="51"/>
        <v>16952.285486914621</v>
      </c>
      <c r="AI31" s="24">
        <f t="shared" si="12"/>
        <v>-3592.1940577140122</v>
      </c>
      <c r="AJ31" s="48">
        <f t="shared" si="52"/>
        <v>-30994.890944636325</v>
      </c>
      <c r="AL31" s="93">
        <f>IF(ISERROR(VLOOKUP(C31,'TABLES-ACTUAL &amp; FUTURE RATES'!$R$9:$S$80,2,FALSE)),0,VLOOKUP(C31,'TABLES-ACTUAL &amp; FUTURE RATES'!$R$9:$S$80,2,FALSE))</f>
        <v>0.01</v>
      </c>
      <c r="AM31" s="7">
        <f t="shared" si="13"/>
        <v>190.28274635813051</v>
      </c>
      <c r="AN31" s="47">
        <f t="shared" si="53"/>
        <v>17406.340750188985</v>
      </c>
      <c r="AO31" s="9">
        <f t="shared" si="14"/>
        <v>-3138.1387944396483</v>
      </c>
      <c r="AP31" s="48">
        <f t="shared" si="54"/>
        <v>-28795.579273927218</v>
      </c>
      <c r="AR31" s="32">
        <f>IF(ISERROR(VLOOKUP(C31,'TABLES-ACTUAL &amp; FUTURE RATES'!$T$9:$V$80,3,FALSE)),0,VLOOKUP(C31,'TABLES-ACTUAL &amp; FUTURE RATES'!$T$9:$V$80,3,FALSE))</f>
        <v>0.75</v>
      </c>
      <c r="AS31" s="93">
        <f>IF(ISERROR(VLOOKUP(C31,'TABLES-ACTUAL &amp; FUTURE RATES'!$T$9:$U$80,2,FALSE)),0,VLOOKUP(C31,'TABLES-ACTUAL &amp; FUTURE RATES'!$T$9:$U$80,2,FALSE))</f>
        <v>1.4999999999999999E-2</v>
      </c>
      <c r="AT31" s="7">
        <f t="shared" si="15"/>
        <v>276.9010611804581</v>
      </c>
      <c r="AU31" s="47">
        <f t="shared" si="55"/>
        <v>18111.206696531997</v>
      </c>
      <c r="AV31" s="9">
        <f t="shared" si="16"/>
        <v>-2433.2728480966362</v>
      </c>
      <c r="AW31" s="48">
        <f t="shared" si="56"/>
        <v>-23969.974731548285</v>
      </c>
      <c r="AX31" s="259"/>
      <c r="AY31">
        <f t="shared" si="17"/>
        <v>75</v>
      </c>
      <c r="AZ31" s="9">
        <f t="shared" si="24"/>
        <v>15648.923598429543</v>
      </c>
      <c r="BA31" s="9">
        <f t="shared" si="25"/>
        <v>138.48604954362236</v>
      </c>
      <c r="BB31" s="9">
        <f t="shared" si="57"/>
        <v>215495.93366190407</v>
      </c>
      <c r="BC31" s="9">
        <f t="shared" si="26"/>
        <v>1371.8414033951121</v>
      </c>
      <c r="BD31" s="9">
        <f t="shared" si="27"/>
        <v>16945.648463471276</v>
      </c>
      <c r="BE31" s="9">
        <f t="shared" si="28"/>
        <v>1435.2109145853556</v>
      </c>
      <c r="BF31" s="9">
        <f t="shared" si="58"/>
        <v>222577.89056085912</v>
      </c>
      <c r="BG31" s="9">
        <f t="shared" si="29"/>
        <v>8453.7983023501583</v>
      </c>
      <c r="BH31" s="9">
        <f t="shared" si="30"/>
        <v>16952.285486914621</v>
      </c>
      <c r="BI31" s="9">
        <f t="shared" si="31"/>
        <v>1441.8479380287008</v>
      </c>
      <c r="BJ31" s="9">
        <f t="shared" si="59"/>
        <v>221899.86475862385</v>
      </c>
      <c r="BK31" s="9">
        <f t="shared" si="32"/>
        <v>7775.7725001148938</v>
      </c>
      <c r="BL31" s="9">
        <f t="shared" si="33"/>
        <v>17406.340750188985</v>
      </c>
      <c r="BM31" s="9">
        <f t="shared" si="34"/>
        <v>1895.9032013030646</v>
      </c>
      <c r="BN31" s="9">
        <f t="shared" si="60"/>
        <v>224099.17642933287</v>
      </c>
      <c r="BO31" s="9">
        <f t="shared" si="35"/>
        <v>9975.0841708239168</v>
      </c>
      <c r="BP31" s="9">
        <f t="shared" si="36"/>
        <v>18111.206696531997</v>
      </c>
      <c r="BQ31" s="9">
        <f t="shared" si="37"/>
        <v>2600.7691476460768</v>
      </c>
      <c r="BR31" s="9">
        <f t="shared" si="61"/>
        <v>228924.78097171182</v>
      </c>
      <c r="BS31" s="9">
        <f t="shared" si="38"/>
        <v>14800.688713202864</v>
      </c>
      <c r="BV31" s="373">
        <f t="shared" si="18"/>
        <v>402.83293224762025</v>
      </c>
      <c r="BW31" s="374">
        <f t="shared" si="19"/>
        <v>20544.479544628633</v>
      </c>
      <c r="BX31" s="378">
        <f t="shared" si="39"/>
        <v>0.31830000000000003</v>
      </c>
      <c r="BY31" s="9">
        <f t="shared" si="20"/>
        <v>4774.5</v>
      </c>
      <c r="BZ31" s="323">
        <f t="shared" si="21"/>
        <v>19774.5</v>
      </c>
      <c r="CA31" s="361"/>
    </row>
    <row r="32" spans="2:79" ht="17" thickBot="1">
      <c r="C32" s="322">
        <f t="shared" si="22"/>
        <v>2031</v>
      </c>
      <c r="D32" s="57">
        <f t="shared" si="23"/>
        <v>76</v>
      </c>
      <c r="E32" s="62">
        <f t="shared" si="40"/>
        <v>15</v>
      </c>
      <c r="F32" s="50">
        <f t="shared" si="41"/>
        <v>20544.479544628633</v>
      </c>
      <c r="G32" s="94">
        <f>IF(ISERROR(VLOOKUP(C32,'TABLES-ACTUAL &amp; FUTURE RATES'!$D$9:$F$80,2,FALSE)),0,VLOOKUP(C32,'TABLES-ACTUAL &amp; FUTURE RATES'!$D$9:$F$80,2,FALSE))</f>
        <v>0.02</v>
      </c>
      <c r="H32" s="5">
        <f t="shared" si="2"/>
        <v>410.8895908925727</v>
      </c>
      <c r="I32" s="5">
        <f t="shared" si="3"/>
        <v>20955.369135521207</v>
      </c>
      <c r="J32" s="317">
        <f t="shared" si="42"/>
        <v>0.89473684210526316</v>
      </c>
      <c r="K32" s="314">
        <f t="shared" si="43"/>
        <v>0.10526315789473684</v>
      </c>
      <c r="L32">
        <f t="shared" si="4"/>
        <v>2031</v>
      </c>
      <c r="M32" s="93">
        <f>IF(ISERROR(VLOOKUP(C32,'TABLES-ACTUAL &amp; FUTURE RATES'!$J$9:$K$80,2,FALSE)),0,VLOOKUP(C32,'TABLES-ACTUAL &amp; FUTURE RATES'!$J$9:$K$80,2,FALSE))</f>
        <v>0</v>
      </c>
      <c r="N32" s="7">
        <f t="shared" si="5"/>
        <v>32.653552734496678</v>
      </c>
      <c r="O32" s="52">
        <f t="shared" si="44"/>
        <v>15543.091101620417</v>
      </c>
      <c r="P32" s="8">
        <f t="shared" si="45"/>
        <v>229667.18336012936</v>
      </c>
      <c r="Q32" s="9">
        <f t="shared" si="6"/>
        <v>-5412.2780339007895</v>
      </c>
      <c r="R32" s="53">
        <f t="shared" si="46"/>
        <v>-44182.941478651941</v>
      </c>
      <c r="S32" s="51"/>
      <c r="T32" s="93">
        <f>IF(ISERROR(VLOOKUP(C32,'TABLES-ACTUAL &amp; FUTURE RATES'!$L$9:$M$80,2,FALSE)),0,VLOOKUP(C32,'TABLES-ACTUAL &amp; FUTURE RATES'!$L$9:$M$80,2,FALSE))</f>
        <v>0</v>
      </c>
      <c r="U32" s="7">
        <f t="shared" si="7"/>
        <v>32.945102312483243</v>
      </c>
      <c r="V32" s="52">
        <f t="shared" si="47"/>
        <v>15681.868700742027</v>
      </c>
      <c r="W32" s="9">
        <f t="shared" si="8"/>
        <v>-5273.5004347791801</v>
      </c>
      <c r="X32" s="53">
        <f t="shared" si="48"/>
        <v>-42672.322476135232</v>
      </c>
      <c r="Y32" s="51"/>
      <c r="Z32" s="93">
        <f>IF(ISERROR(VLOOKUP(C32,'TABLES-ACTUAL &amp; FUTURE RATES'!$N$9:$O$80,2,FALSE)),0,VLOOKUP(C32,'TABLES-ACTUAL &amp; FUTURE RATES'!$N$9:$O$80,2,FALSE))</f>
        <v>0.02</v>
      </c>
      <c r="AA32" s="7">
        <f t="shared" si="9"/>
        <v>338.9129692694255</v>
      </c>
      <c r="AB32" s="52">
        <f t="shared" si="49"/>
        <v>17284.561432740702</v>
      </c>
      <c r="AC32" s="9">
        <f t="shared" si="10"/>
        <v>-3670.8077027805048</v>
      </c>
      <c r="AD32" s="53">
        <f t="shared" si="50"/>
        <v>-33987.672845181485</v>
      </c>
      <c r="AE32" s="51"/>
      <c r="AF32" s="93">
        <f>IF(ISERROR(VLOOKUP(C32,'TABLES-ACTUAL &amp; FUTURE RATES'!$P$9:$Q$80,2,FALSE)),0,VLOOKUP(C32,'TABLES-ACTUAL &amp; FUTURE RATES'!$P$9:$Q$80,2,FALSE))</f>
        <v>0.01</v>
      </c>
      <c r="AG32" s="7">
        <f t="shared" si="11"/>
        <v>187.36736590800371</v>
      </c>
      <c r="AH32" s="52">
        <f t="shared" si="51"/>
        <v>17139.652852822626</v>
      </c>
      <c r="AI32" s="24">
        <f t="shared" si="12"/>
        <v>-3815.7162826985805</v>
      </c>
      <c r="AJ32" s="53">
        <f t="shared" si="52"/>
        <v>-34810.607227334905</v>
      </c>
      <c r="AK32" s="51"/>
      <c r="AL32" s="93">
        <f>IF(ISERROR(VLOOKUP(C32,'TABLES-ACTUAL &amp; FUTURE RATES'!$R$9:$S$80,2,FALSE)),0,VLOOKUP(C32,'TABLES-ACTUAL &amp; FUTURE RATES'!$R$9:$S$80,2,FALSE))</f>
        <v>0.01</v>
      </c>
      <c r="AM32" s="7">
        <f t="shared" si="13"/>
        <v>192.38587144945717</v>
      </c>
      <c r="AN32" s="52">
        <f t="shared" si="53"/>
        <v>17598.726621638441</v>
      </c>
      <c r="AO32" s="9">
        <f t="shared" si="14"/>
        <v>-3356.6425138827653</v>
      </c>
      <c r="AP32" s="53">
        <f t="shared" si="54"/>
        <v>-32152.221787809984</v>
      </c>
      <c r="AQ32" s="51"/>
      <c r="AR32" s="32">
        <f>IF(ISERROR(VLOOKUP(C32,'TABLES-ACTUAL &amp; FUTURE RATES'!$T$9:$V$80,3,FALSE)),0,VLOOKUP(C32,'TABLES-ACTUAL &amp; FUTURE RATES'!$T$9:$V$80,3,FALSE))</f>
        <v>0.75</v>
      </c>
      <c r="AS32" s="93">
        <f>IF(ISERROR(VLOOKUP(C32,'TABLES-ACTUAL &amp; FUTURE RATES'!$T$9:$U$80,2,FALSE)),0,VLOOKUP(C32,'TABLES-ACTUAL &amp; FUTURE RATES'!$T$9:$U$80,2,FALSE))</f>
        <v>1.4999999999999999E-2</v>
      </c>
      <c r="AT32" s="7">
        <f t="shared" si="15"/>
        <v>281.20031449878627</v>
      </c>
      <c r="AU32" s="52">
        <f t="shared" si="55"/>
        <v>18392.407011030784</v>
      </c>
      <c r="AV32" s="9">
        <f t="shared" si="16"/>
        <v>-2562.9621244904229</v>
      </c>
      <c r="AW32" s="54">
        <f t="shared" si="56"/>
        <v>-26532.936856038708</v>
      </c>
      <c r="AX32" s="259"/>
      <c r="AY32">
        <f t="shared" si="17"/>
        <v>76</v>
      </c>
      <c r="AZ32" s="9">
        <f t="shared" si="24"/>
        <v>15681.868700742027</v>
      </c>
      <c r="BA32" s="9">
        <f t="shared" si="25"/>
        <v>138.77759912160946</v>
      </c>
      <c r="BB32" s="9">
        <f t="shared" si="57"/>
        <v>231177.80236264609</v>
      </c>
      <c r="BC32" s="9">
        <f t="shared" si="26"/>
        <v>1510.6190025167307</v>
      </c>
      <c r="BD32" s="9">
        <f t="shared" si="27"/>
        <v>17284.561432740702</v>
      </c>
      <c r="BE32" s="9">
        <f t="shared" si="28"/>
        <v>1741.4703311202848</v>
      </c>
      <c r="BF32" s="9">
        <f t="shared" si="58"/>
        <v>239862.45199359983</v>
      </c>
      <c r="BG32" s="9">
        <f t="shared" si="29"/>
        <v>10195.268633470463</v>
      </c>
      <c r="BH32" s="9">
        <f t="shared" si="30"/>
        <v>17139.652852822626</v>
      </c>
      <c r="BI32" s="9">
        <f t="shared" si="31"/>
        <v>1596.5617512022091</v>
      </c>
      <c r="BJ32" s="9">
        <f t="shared" si="59"/>
        <v>239039.51761144647</v>
      </c>
      <c r="BK32" s="9">
        <f t="shared" si="32"/>
        <v>9372.3342513171083</v>
      </c>
      <c r="BL32" s="9">
        <f t="shared" si="33"/>
        <v>17598.726621638441</v>
      </c>
      <c r="BM32" s="9">
        <f t="shared" si="34"/>
        <v>2055.6355200180242</v>
      </c>
      <c r="BN32" s="9">
        <f t="shared" si="60"/>
        <v>241697.9030509713</v>
      </c>
      <c r="BO32" s="9">
        <f t="shared" si="35"/>
        <v>12030.719690841943</v>
      </c>
      <c r="BP32" s="9">
        <f t="shared" si="36"/>
        <v>18392.407011030784</v>
      </c>
      <c r="BQ32" s="9">
        <f t="shared" si="37"/>
        <v>2849.3159094103667</v>
      </c>
      <c r="BR32" s="9">
        <f t="shared" si="61"/>
        <v>247317.18798274262</v>
      </c>
      <c r="BS32" s="9">
        <f t="shared" si="38"/>
        <v>17650.004622613254</v>
      </c>
      <c r="BV32" s="373">
        <f t="shared" si="18"/>
        <v>410.8895908925727</v>
      </c>
      <c r="BW32" s="374">
        <f t="shared" si="19"/>
        <v>20955.369135521207</v>
      </c>
      <c r="BX32" s="378">
        <f t="shared" si="39"/>
        <v>0.33830000000000005</v>
      </c>
      <c r="BY32" s="9">
        <f t="shared" si="20"/>
        <v>5074.5000000000009</v>
      </c>
      <c r="BZ32" s="323">
        <f t="shared" si="21"/>
        <v>20074.5</v>
      </c>
      <c r="CA32" s="361"/>
    </row>
    <row r="33" spans="3:79" ht="17" thickBot="1">
      <c r="C33" s="322">
        <f t="shared" si="22"/>
        <v>2032</v>
      </c>
      <c r="D33" s="57">
        <f t="shared" si="23"/>
        <v>77</v>
      </c>
      <c r="E33" s="63">
        <f t="shared" si="40"/>
        <v>16</v>
      </c>
      <c r="F33" s="10">
        <f t="shared" si="41"/>
        <v>20955.369135521207</v>
      </c>
      <c r="G33" s="94">
        <f>IF(ISERROR(VLOOKUP(C33,'TABLES-ACTUAL &amp; FUTURE RATES'!$D$9:$F$80,2,FALSE)),0,VLOOKUP(C33,'TABLES-ACTUAL &amp; FUTURE RATES'!$D$9:$F$80,2,FALSE))</f>
        <v>0.02</v>
      </c>
      <c r="H33" s="5">
        <f t="shared" si="2"/>
        <v>419.10738271042413</v>
      </c>
      <c r="I33" s="5">
        <f t="shared" si="3"/>
        <v>21374.47651823163</v>
      </c>
      <c r="J33" s="317">
        <f t="shared" si="42"/>
        <v>0.89473684210526316</v>
      </c>
      <c r="K33" s="314">
        <f t="shared" si="43"/>
        <v>0.10526315789473684</v>
      </c>
      <c r="L33">
        <f t="shared" si="4"/>
        <v>2032</v>
      </c>
      <c r="M33" s="93">
        <f>IF(ISERROR(VLOOKUP(C33,'TABLES-ACTUAL &amp; FUTURE RATES'!$J$9:$K$80,2,FALSE)),0,VLOOKUP(C33,'TABLES-ACTUAL &amp; FUTURE RATES'!$J$9:$K$80,2,FALSE))</f>
        <v>0</v>
      </c>
      <c r="N33" s="7">
        <f t="shared" si="5"/>
        <v>32.722297056042983</v>
      </c>
      <c r="O33" s="23">
        <f t="shared" si="44"/>
        <v>15575.813398676461</v>
      </c>
      <c r="P33" s="8">
        <f t="shared" si="45"/>
        <v>245242.99675880582</v>
      </c>
      <c r="Q33" s="9">
        <f t="shared" si="6"/>
        <v>-5798.663119555169</v>
      </c>
      <c r="R33" s="24">
        <f t="shared" si="46"/>
        <v>-49981.604598207108</v>
      </c>
      <c r="T33" s="93">
        <f>IF(ISERROR(VLOOKUP(C33,'TABLES-ACTUAL &amp; FUTURE RATES'!$L$9:$M$80,2,FALSE)),0,VLOOKUP(C33,'TABLES-ACTUAL &amp; FUTURE RATES'!$L$9:$M$80,2,FALSE))</f>
        <v>0</v>
      </c>
      <c r="U33" s="7">
        <f t="shared" si="7"/>
        <v>33.014460422614796</v>
      </c>
      <c r="V33" s="23">
        <f t="shared" si="47"/>
        <v>15714.883161164642</v>
      </c>
      <c r="W33" s="9">
        <f t="shared" si="8"/>
        <v>-5659.5933570669877</v>
      </c>
      <c r="X33" s="24">
        <f t="shared" si="48"/>
        <v>-48331.91583320222</v>
      </c>
      <c r="Z33" s="93">
        <f>IF(ISERROR(VLOOKUP(C33,'TABLES-ACTUAL &amp; FUTURE RATES'!$N$9:$O$80,2,FALSE)),0,VLOOKUP(C33,'TABLES-ACTUAL &amp; FUTURE RATES'!$N$9:$O$80,2,FALSE))</f>
        <v>0</v>
      </c>
      <c r="AA33" s="7">
        <f t="shared" si="9"/>
        <v>36.388550384717263</v>
      </c>
      <c r="AB33" s="23">
        <f t="shared" si="49"/>
        <v>17320.949983125418</v>
      </c>
      <c r="AC33" s="9">
        <f t="shared" si="10"/>
        <v>-4053.5265351062117</v>
      </c>
      <c r="AD33" s="24">
        <f t="shared" si="50"/>
        <v>-38041.199380287697</v>
      </c>
      <c r="AF33" s="93">
        <f>IF(ISERROR(VLOOKUP(C33,'TABLES-ACTUAL &amp; FUTURE RATES'!$P$9:$Q$80,2,FALSE)),0,VLOOKUP(C33,'TABLES-ACTUAL &amp; FUTURE RATES'!$P$9:$Q$80,2,FALSE))</f>
        <v>0.01</v>
      </c>
      <c r="AG33" s="7">
        <f t="shared" si="11"/>
        <v>189.43826837330272</v>
      </c>
      <c r="AH33" s="23">
        <f t="shared" si="51"/>
        <v>17329.091121195928</v>
      </c>
      <c r="AI33" s="24">
        <f t="shared" si="12"/>
        <v>-4045.3853970357013</v>
      </c>
      <c r="AJ33" s="24">
        <f t="shared" si="52"/>
        <v>-38855.992624370607</v>
      </c>
      <c r="AL33" s="93">
        <f>IF(ISERROR(VLOOKUP(C33,'TABLES-ACTUAL &amp; FUTURE RATES'!$R$9:$S$80,2,FALSE)),0,VLOOKUP(C33,'TABLES-ACTUAL &amp; FUTURE RATES'!$R$9:$S$80,2,FALSE))</f>
        <v>0.02</v>
      </c>
      <c r="AM33" s="7">
        <f t="shared" si="13"/>
        <v>351.97453243276885</v>
      </c>
      <c r="AN33" s="23">
        <f t="shared" si="53"/>
        <v>17950.701154071212</v>
      </c>
      <c r="AO33" s="9">
        <f t="shared" si="14"/>
        <v>-3423.7753641604177</v>
      </c>
      <c r="AP33" s="24">
        <f t="shared" si="54"/>
        <v>-35575.997151970398</v>
      </c>
      <c r="AR33" s="32">
        <f>IF(ISERROR(VLOOKUP(C33,'TABLES-ACTUAL &amp; FUTURE RATES'!$T$9:$V$80,3,FALSE)),0,VLOOKUP(C33,'TABLES-ACTUAL &amp; FUTURE RATES'!$T$9:$V$80,3,FALSE))</f>
        <v>0.5</v>
      </c>
      <c r="AS33" s="93">
        <f>IF(ISERROR(VLOOKUP(C33,'TABLES-ACTUAL &amp; FUTURE RATES'!$T$9:$U$80,2,FALSE)),0,VLOOKUP(C33,'TABLES-ACTUAL &amp; FUTURE RATES'!$T$9:$U$80,2,FALSE))</f>
        <v>0.01</v>
      </c>
      <c r="AT33" s="7">
        <f t="shared" si="15"/>
        <v>203.28449854297182</v>
      </c>
      <c r="AU33" s="23">
        <f t="shared" si="55"/>
        <v>18595.691509573757</v>
      </c>
      <c r="AV33" s="9">
        <f t="shared" si="16"/>
        <v>-2778.7850086578728</v>
      </c>
      <c r="AW33" s="24">
        <f t="shared" si="56"/>
        <v>-29311.721864696581</v>
      </c>
      <c r="AX33" s="259"/>
      <c r="AY33">
        <f t="shared" si="17"/>
        <v>77</v>
      </c>
      <c r="AZ33" s="9">
        <f t="shared" si="24"/>
        <v>15714.883161164642</v>
      </c>
      <c r="BA33" s="9">
        <f t="shared" si="25"/>
        <v>139.06976248818137</v>
      </c>
      <c r="BB33" s="9">
        <f t="shared" si="57"/>
        <v>246892.68552381074</v>
      </c>
      <c r="BC33" s="9">
        <f t="shared" si="26"/>
        <v>1649.6887650049175</v>
      </c>
      <c r="BD33" s="9">
        <f t="shared" si="27"/>
        <v>17320.949983125418</v>
      </c>
      <c r="BE33" s="9">
        <f t="shared" si="28"/>
        <v>1745.1365844489574</v>
      </c>
      <c r="BF33" s="9">
        <f t="shared" si="58"/>
        <v>257183.40197672523</v>
      </c>
      <c r="BG33" s="9">
        <f t="shared" si="29"/>
        <v>11940.405217919411</v>
      </c>
      <c r="BH33" s="9">
        <f t="shared" si="30"/>
        <v>17329.091121195928</v>
      </c>
      <c r="BI33" s="9">
        <f t="shared" si="31"/>
        <v>1753.2777225194677</v>
      </c>
      <c r="BJ33" s="9">
        <f t="shared" si="59"/>
        <v>256368.6087326424</v>
      </c>
      <c r="BK33" s="9">
        <f t="shared" si="32"/>
        <v>11125.611973836581</v>
      </c>
      <c r="BL33" s="9">
        <f t="shared" si="33"/>
        <v>17950.701154071212</v>
      </c>
      <c r="BM33" s="9">
        <f t="shared" si="34"/>
        <v>2374.8877553947514</v>
      </c>
      <c r="BN33" s="9">
        <f t="shared" si="60"/>
        <v>259648.60420504253</v>
      </c>
      <c r="BO33" s="9">
        <f t="shared" si="35"/>
        <v>14405.607446236711</v>
      </c>
      <c r="BP33" s="9">
        <f t="shared" si="36"/>
        <v>18595.691509573757</v>
      </c>
      <c r="BQ33" s="9">
        <f t="shared" si="37"/>
        <v>3019.8781108972962</v>
      </c>
      <c r="BR33" s="9">
        <f t="shared" si="61"/>
        <v>265912.8794923164</v>
      </c>
      <c r="BS33" s="9">
        <f t="shared" si="38"/>
        <v>20669.882733510574</v>
      </c>
      <c r="BV33" s="373">
        <f t="shared" si="18"/>
        <v>419.10738271042413</v>
      </c>
      <c r="BW33" s="374">
        <f t="shared" si="19"/>
        <v>21374.47651823163</v>
      </c>
      <c r="BX33" s="378">
        <f t="shared" si="39"/>
        <v>0.35830000000000006</v>
      </c>
      <c r="BY33" s="9">
        <f t="shared" si="20"/>
        <v>5374.5000000000009</v>
      </c>
      <c r="BZ33" s="323">
        <f t="shared" si="21"/>
        <v>20374.5</v>
      </c>
      <c r="CA33" s="361"/>
    </row>
    <row r="34" spans="3:79" ht="17" thickBot="1">
      <c r="C34" s="322">
        <f t="shared" si="22"/>
        <v>2033</v>
      </c>
      <c r="D34" s="57">
        <f t="shared" si="23"/>
        <v>78</v>
      </c>
      <c r="E34" s="31">
        <f t="shared" si="40"/>
        <v>17</v>
      </c>
      <c r="F34" s="5">
        <f t="shared" si="41"/>
        <v>21374.47651823163</v>
      </c>
      <c r="G34" s="94">
        <f>IF(ISERROR(VLOOKUP(C34,'TABLES-ACTUAL &amp; FUTURE RATES'!$D$9:$F$80,2,FALSE)),0,VLOOKUP(C34,'TABLES-ACTUAL &amp; FUTURE RATES'!$D$9:$F$80,2,FALSE))</f>
        <v>0.02</v>
      </c>
      <c r="H34" s="5">
        <f t="shared" si="2"/>
        <v>427.48953036463263</v>
      </c>
      <c r="I34" s="5">
        <f t="shared" si="3"/>
        <v>21801.966048596263</v>
      </c>
      <c r="J34" s="317">
        <f t="shared" si="42"/>
        <v>0.89473684210526316</v>
      </c>
      <c r="K34" s="314">
        <f t="shared" si="43"/>
        <v>0.10526315789473684</v>
      </c>
      <c r="L34">
        <f t="shared" si="4"/>
        <v>2033</v>
      </c>
      <c r="M34" s="93">
        <f>IF(ISERROR(VLOOKUP(C34,'TABLES-ACTUAL &amp; FUTURE RATES'!$J$9:$K$80,2,FALSE)),0,VLOOKUP(C34,'TABLES-ACTUAL &amp; FUTURE RATES'!$J$9:$K$80,2,FALSE))</f>
        <v>0</v>
      </c>
      <c r="N34" s="7">
        <f t="shared" si="5"/>
        <v>32.791186102476757</v>
      </c>
      <c r="O34" s="8">
        <f t="shared" si="44"/>
        <v>15608.604584778937</v>
      </c>
      <c r="P34" s="8">
        <f t="shared" si="45"/>
        <v>260851.60134358477</v>
      </c>
      <c r="Q34" s="9">
        <f t="shared" si="6"/>
        <v>-6193.3614638173258</v>
      </c>
      <c r="R34" s="9">
        <f t="shared" si="46"/>
        <v>-56174.966062024432</v>
      </c>
      <c r="T34" s="93">
        <f>IF(ISERROR(VLOOKUP(C34,'TABLES-ACTUAL &amp; FUTURE RATES'!$L$9:$M$80,2,FALSE)),0,VLOOKUP(C34,'TABLES-ACTUAL &amp; FUTURE RATES'!$L$9:$M$80,2,FALSE))</f>
        <v>0.01</v>
      </c>
      <c r="U34" s="7">
        <f t="shared" si="7"/>
        <v>173.69081388655658</v>
      </c>
      <c r="V34" s="8">
        <f t="shared" si="47"/>
        <v>15888.573975051198</v>
      </c>
      <c r="W34" s="9">
        <f t="shared" si="8"/>
        <v>-5913.3920735450647</v>
      </c>
      <c r="X34" s="9">
        <f t="shared" si="48"/>
        <v>-54245.307906747286</v>
      </c>
      <c r="Z34" s="93">
        <f>IF(ISERROR(VLOOKUP(C34,'TABLES-ACTUAL &amp; FUTURE RATES'!$N$9:$O$80,2,FALSE)),0,VLOOKUP(C34,'TABLES-ACTUAL &amp; FUTURE RATES'!$N$9:$O$80,2,FALSE))</f>
        <v>0.02</v>
      </c>
      <c r="AA34" s="7">
        <f t="shared" si="9"/>
        <v>346.41899966250838</v>
      </c>
      <c r="AB34" s="8">
        <f t="shared" si="49"/>
        <v>17667.368982787928</v>
      </c>
      <c r="AC34" s="9">
        <f t="shared" si="10"/>
        <v>-4134.5970658083352</v>
      </c>
      <c r="AD34" s="9">
        <f t="shared" si="50"/>
        <v>-42175.796446096036</v>
      </c>
      <c r="AF34" s="93">
        <f>IF(ISERROR(VLOOKUP(C34,'TABLES-ACTUAL &amp; FUTURE RATES'!$P$9:$Q$80,2,FALSE)),0,VLOOKUP(C34,'TABLES-ACTUAL &amp; FUTURE RATES'!$P$9:$Q$80,2,FALSE))</f>
        <v>0.01</v>
      </c>
      <c r="AG34" s="7">
        <f t="shared" si="11"/>
        <v>191.53205976058658</v>
      </c>
      <c r="AH34" s="8">
        <f t="shared" si="51"/>
        <v>17520.623180956514</v>
      </c>
      <c r="AI34" s="24">
        <f t="shared" si="12"/>
        <v>-4281.3428676397489</v>
      </c>
      <c r="AJ34" s="9">
        <f t="shared" si="52"/>
        <v>-43137.335492010359</v>
      </c>
      <c r="AL34" s="93">
        <f>IF(ISERROR(VLOOKUP(C34,'TABLES-ACTUAL &amp; FUTURE RATES'!$R$9:$S$80,2,FALSE)),0,VLOOKUP(C34,'TABLES-ACTUAL &amp; FUTURE RATES'!$R$9:$S$80,2,FALSE))</f>
        <v>0.01</v>
      </c>
      <c r="AM34" s="7">
        <f t="shared" si="13"/>
        <v>198.40248643973447</v>
      </c>
      <c r="AN34" s="8">
        <f t="shared" si="53"/>
        <v>18149.103640510948</v>
      </c>
      <c r="AO34" s="9">
        <f t="shared" si="14"/>
        <v>-3652.8624080853151</v>
      </c>
      <c r="AP34" s="9">
        <f t="shared" si="54"/>
        <v>-39228.859560055716</v>
      </c>
      <c r="AR34" s="32">
        <f>IF(ISERROR(VLOOKUP(C34,'TABLES-ACTUAL &amp; FUTURE RATES'!$T$9:$V$80,3,FALSE)),0,VLOOKUP(C34,'TABLES-ACTUAL &amp; FUTURE RATES'!$T$9:$V$80,3,FALSE))</f>
        <v>0.5</v>
      </c>
      <c r="AS34" s="93">
        <f>IF(ISERROR(VLOOKUP(C34,'TABLES-ACTUAL &amp; FUTURE RATES'!$T$9:$U$80,2,FALSE)),0,VLOOKUP(C34,'TABLES-ACTUAL &amp; FUTURE RATES'!$T$9:$U$80,2,FALSE))</f>
        <v>0.01</v>
      </c>
      <c r="AT34" s="7">
        <f t="shared" si="15"/>
        <v>205.53132721107838</v>
      </c>
      <c r="AU34" s="8">
        <f t="shared" si="55"/>
        <v>18801.222836784837</v>
      </c>
      <c r="AV34" s="9">
        <f t="shared" si="16"/>
        <v>-3000.7432118114266</v>
      </c>
      <c r="AW34" s="9">
        <f t="shared" si="56"/>
        <v>-32312.465076508008</v>
      </c>
      <c r="AX34" s="259"/>
      <c r="AY34">
        <f t="shared" si="17"/>
        <v>78</v>
      </c>
      <c r="AZ34" s="9">
        <f t="shared" si="24"/>
        <v>15888.573975051198</v>
      </c>
      <c r="BA34" s="9">
        <f t="shared" si="25"/>
        <v>279.96939027226108</v>
      </c>
      <c r="BB34" s="9">
        <f t="shared" si="57"/>
        <v>262781.25949886191</v>
      </c>
      <c r="BC34" s="9">
        <f t="shared" si="26"/>
        <v>1929.6581552771386</v>
      </c>
      <c r="BD34" s="9">
        <f t="shared" si="27"/>
        <v>17667.368982787928</v>
      </c>
      <c r="BE34" s="9">
        <f t="shared" si="28"/>
        <v>2058.7643980089906</v>
      </c>
      <c r="BF34" s="9">
        <f t="shared" si="58"/>
        <v>274850.77095951315</v>
      </c>
      <c r="BG34" s="9">
        <f t="shared" si="29"/>
        <v>13999.169615928375</v>
      </c>
      <c r="BH34" s="9">
        <f t="shared" si="30"/>
        <v>17520.623180956514</v>
      </c>
      <c r="BI34" s="9">
        <f t="shared" si="31"/>
        <v>1912.0185961775769</v>
      </c>
      <c r="BJ34" s="9">
        <f t="shared" si="59"/>
        <v>273889.23191359889</v>
      </c>
      <c r="BK34" s="9">
        <f t="shared" si="32"/>
        <v>13037.630570014124</v>
      </c>
      <c r="BL34" s="9">
        <f t="shared" si="33"/>
        <v>18149.103640510948</v>
      </c>
      <c r="BM34" s="9">
        <f t="shared" si="34"/>
        <v>2540.4990557320107</v>
      </c>
      <c r="BN34" s="9">
        <f t="shared" si="60"/>
        <v>277797.70784555346</v>
      </c>
      <c r="BO34" s="9">
        <f t="shared" si="35"/>
        <v>16946.106501968694</v>
      </c>
      <c r="BP34" s="9">
        <f t="shared" si="36"/>
        <v>18801.222836784837</v>
      </c>
      <c r="BQ34" s="9">
        <f t="shared" si="37"/>
        <v>3192.6182520058992</v>
      </c>
      <c r="BR34" s="9">
        <f t="shared" si="61"/>
        <v>284714.10232910124</v>
      </c>
      <c r="BS34" s="9">
        <f t="shared" si="38"/>
        <v>23862.500985516468</v>
      </c>
      <c r="BV34" s="373">
        <f t="shared" si="18"/>
        <v>427.48953036463263</v>
      </c>
      <c r="BW34" s="374">
        <f t="shared" si="19"/>
        <v>21801.966048596263</v>
      </c>
      <c r="BX34" s="378">
        <f t="shared" si="39"/>
        <v>0.37830000000000008</v>
      </c>
      <c r="BY34" s="9">
        <f t="shared" si="20"/>
        <v>5674.5000000000009</v>
      </c>
      <c r="BZ34" s="323">
        <f t="shared" si="21"/>
        <v>20674.5</v>
      </c>
      <c r="CA34" s="361"/>
    </row>
    <row r="35" spans="3:79" ht="17" thickBot="1">
      <c r="C35" s="322">
        <f t="shared" si="22"/>
        <v>2034</v>
      </c>
      <c r="D35" s="57">
        <f t="shared" si="23"/>
        <v>79</v>
      </c>
      <c r="E35" s="31">
        <f t="shared" si="40"/>
        <v>18</v>
      </c>
      <c r="F35" s="5">
        <f t="shared" si="41"/>
        <v>21801.966048596263</v>
      </c>
      <c r="G35" s="94">
        <f>IF(ISERROR(VLOOKUP(C35,'TABLES-ACTUAL &amp; FUTURE RATES'!$D$9:$F$80,2,FALSE)),0,VLOOKUP(C35,'TABLES-ACTUAL &amp; FUTURE RATES'!$D$9:$F$80,2,FALSE))</f>
        <v>0.02</v>
      </c>
      <c r="H35" s="5">
        <f t="shared" si="2"/>
        <v>436.03932097192529</v>
      </c>
      <c r="I35" s="5">
        <f t="shared" si="3"/>
        <v>22238.005369568189</v>
      </c>
      <c r="J35" s="317">
        <f t="shared" si="42"/>
        <v>0.89473684210526316</v>
      </c>
      <c r="K35" s="314">
        <f t="shared" si="43"/>
        <v>0.10526315789473684</v>
      </c>
      <c r="L35">
        <f t="shared" si="4"/>
        <v>2034</v>
      </c>
      <c r="M35" s="93">
        <f>IF(ISERROR(VLOOKUP(C35,'TABLES-ACTUAL &amp; FUTURE RATES'!$J$9:$K$80,2,FALSE)),0,VLOOKUP(C35,'TABLES-ACTUAL &amp; FUTURE RATES'!$J$9:$K$80,2,FALSE))</f>
        <v>0</v>
      </c>
      <c r="N35" s="7">
        <f t="shared" si="5"/>
        <v>32.860220178481974</v>
      </c>
      <c r="O35" s="8">
        <f t="shared" si="44"/>
        <v>15641.464804957419</v>
      </c>
      <c r="P35" s="8">
        <f t="shared" si="45"/>
        <v>276493.06614854222</v>
      </c>
      <c r="Q35" s="9">
        <f t="shared" si="6"/>
        <v>-6596.5405646107702</v>
      </c>
      <c r="R35" s="9">
        <f t="shared" si="46"/>
        <v>-62771.506626635201</v>
      </c>
      <c r="T35" s="93">
        <f>IF(ISERROR(VLOOKUP(C35,'TABLES-ACTUAL &amp; FUTURE RATES'!$L$9:$M$80,2,FALSE)),0,VLOOKUP(C35,'TABLES-ACTUAL &amp; FUTURE RATES'!$L$9:$M$80,2,FALSE))</f>
        <v>0</v>
      </c>
      <c r="U35" s="7">
        <f t="shared" si="7"/>
        <v>33.449629421160417</v>
      </c>
      <c r="V35" s="8">
        <f t="shared" si="47"/>
        <v>15922.023604472359</v>
      </c>
      <c r="W35" s="9">
        <f t="shared" si="8"/>
        <v>-6315.9817650958303</v>
      </c>
      <c r="X35" s="9">
        <f t="shared" si="48"/>
        <v>-60561.289671843115</v>
      </c>
      <c r="Z35" s="93">
        <f>IF(ISERROR(VLOOKUP(C35,'TABLES-ACTUAL &amp; FUTURE RATES'!$N$9:$O$80,2,FALSE)),0,VLOOKUP(C35,'TABLES-ACTUAL &amp; FUTURE RATES'!$N$9:$O$80,2,FALSE))</f>
        <v>0</v>
      </c>
      <c r="AA35" s="7">
        <f t="shared" si="9"/>
        <v>37.194461016395636</v>
      </c>
      <c r="AB35" s="8">
        <f t="shared" si="49"/>
        <v>17704.563443804323</v>
      </c>
      <c r="AC35" s="9">
        <f t="shared" si="10"/>
        <v>-4533.4419257638656</v>
      </c>
      <c r="AD35" s="9">
        <f t="shared" si="50"/>
        <v>-46709.238371859901</v>
      </c>
      <c r="AF35" s="93">
        <f>IF(ISERROR(VLOOKUP(C35,'TABLES-ACTUAL &amp; FUTURE RATES'!$P$9:$Q$80,2,FALSE)),0,VLOOKUP(C35,'TABLES-ACTUAL &amp; FUTURE RATES'!$P$9:$Q$80,2,FALSE))</f>
        <v>0.01</v>
      </c>
      <c r="AG35" s="7">
        <f t="shared" si="11"/>
        <v>193.64899305267724</v>
      </c>
      <c r="AH35" s="8">
        <f t="shared" si="51"/>
        <v>17714.272174009191</v>
      </c>
      <c r="AI35" s="24">
        <f t="shared" si="12"/>
        <v>-4523.733195558998</v>
      </c>
      <c r="AJ35" s="9">
        <f t="shared" si="52"/>
        <v>-47661.068687569357</v>
      </c>
      <c r="AL35" s="93">
        <f>IF(ISERROR(VLOOKUP(C35,'TABLES-ACTUAL &amp; FUTURE RATES'!$R$9:$S$80,2,FALSE)),0,VLOOKUP(C35,'TABLES-ACTUAL &amp; FUTURE RATES'!$R$9:$S$80,2,FALSE))</f>
        <v>0.01</v>
      </c>
      <c r="AM35" s="7">
        <f t="shared" si="13"/>
        <v>200.59535602669996</v>
      </c>
      <c r="AN35" s="8">
        <f t="shared" si="53"/>
        <v>18349.698996537649</v>
      </c>
      <c r="AO35" s="9">
        <f t="shared" si="14"/>
        <v>-3888.3063730305403</v>
      </c>
      <c r="AP35" s="9">
        <f t="shared" si="54"/>
        <v>-43117.16593308626</v>
      </c>
      <c r="AR35" s="32">
        <f>IF(ISERROR(VLOOKUP(C35,'TABLES-ACTUAL &amp; FUTURE RATES'!$T$9:$V$80,3,FALSE)),0,VLOOKUP(C35,'TABLES-ACTUAL &amp; FUTURE RATES'!$T$9:$V$80,3,FALSE))</f>
        <v>0.5</v>
      </c>
      <c r="AS35" s="93">
        <f>IF(ISERROR(VLOOKUP(C35,'TABLES-ACTUAL &amp; FUTURE RATES'!$T$9:$U$80,2,FALSE)),0,VLOOKUP(C35,'TABLES-ACTUAL &amp; FUTURE RATES'!$T$9:$U$80,2,FALSE))</f>
        <v>0.01</v>
      </c>
      <c r="AT35" s="7">
        <f t="shared" si="15"/>
        <v>207.80298924867452</v>
      </c>
      <c r="AU35" s="8">
        <f t="shared" si="55"/>
        <v>19009.02582603351</v>
      </c>
      <c r="AV35" s="9">
        <f t="shared" si="16"/>
        <v>-3228.9795435346787</v>
      </c>
      <c r="AW35" s="9">
        <f t="shared" si="56"/>
        <v>-35541.44462004269</v>
      </c>
      <c r="AX35" s="259"/>
      <c r="AY35">
        <f t="shared" si="17"/>
        <v>79</v>
      </c>
      <c r="AZ35" s="9">
        <f t="shared" si="24"/>
        <v>15922.023604472359</v>
      </c>
      <c r="BA35" s="9">
        <f t="shared" si="25"/>
        <v>280.55879951493989</v>
      </c>
      <c r="BB35" s="9">
        <f t="shared" si="57"/>
        <v>278703.28310333425</v>
      </c>
      <c r="BC35" s="9">
        <f t="shared" si="26"/>
        <v>2210.2169547920348</v>
      </c>
      <c r="BD35" s="9">
        <f t="shared" si="27"/>
        <v>17704.563443804323</v>
      </c>
      <c r="BE35" s="9">
        <f t="shared" si="28"/>
        <v>2063.0986388469046</v>
      </c>
      <c r="BF35" s="9">
        <f t="shared" si="58"/>
        <v>292555.33440331748</v>
      </c>
      <c r="BG35" s="9">
        <f t="shared" si="29"/>
        <v>16062.268254775263</v>
      </c>
      <c r="BH35" s="9">
        <f t="shared" si="30"/>
        <v>17714.272174009191</v>
      </c>
      <c r="BI35" s="9">
        <f t="shared" si="31"/>
        <v>2072.8073690517722</v>
      </c>
      <c r="BJ35" s="9">
        <f t="shared" si="59"/>
        <v>291603.50408760807</v>
      </c>
      <c r="BK35" s="9">
        <f t="shared" si="32"/>
        <v>15110.437939065858</v>
      </c>
      <c r="BL35" s="9">
        <f t="shared" si="33"/>
        <v>18349.698996537649</v>
      </c>
      <c r="BM35" s="9">
        <f t="shared" si="34"/>
        <v>2708.2341915802299</v>
      </c>
      <c r="BN35" s="9">
        <f t="shared" si="60"/>
        <v>296147.40684209112</v>
      </c>
      <c r="BO35" s="9">
        <f t="shared" si="35"/>
        <v>19654.340693548904</v>
      </c>
      <c r="BP35" s="9">
        <f t="shared" si="36"/>
        <v>19009.02582603351</v>
      </c>
      <c r="BQ35" s="9">
        <f t="shared" si="37"/>
        <v>3367.5610210760915</v>
      </c>
      <c r="BR35" s="9">
        <f t="shared" si="61"/>
        <v>303723.12815513473</v>
      </c>
      <c r="BS35" s="9">
        <f t="shared" si="38"/>
        <v>27230.062006592518</v>
      </c>
      <c r="BV35" s="373">
        <f t="shared" si="18"/>
        <v>436.03932097192529</v>
      </c>
      <c r="BW35" s="374">
        <f t="shared" si="19"/>
        <v>22238.005369568189</v>
      </c>
      <c r="BX35" s="378">
        <f t="shared" si="39"/>
        <v>0.3983000000000001</v>
      </c>
      <c r="BY35" s="9">
        <f t="shared" si="20"/>
        <v>5974.5000000000018</v>
      </c>
      <c r="BZ35" s="323">
        <f t="shared" si="21"/>
        <v>20974.5</v>
      </c>
      <c r="CA35" s="361"/>
    </row>
    <row r="36" spans="3:79" ht="17" thickBot="1">
      <c r="C36" s="322">
        <f t="shared" si="22"/>
        <v>2035</v>
      </c>
      <c r="D36" s="57">
        <f t="shared" si="23"/>
        <v>80</v>
      </c>
      <c r="E36" s="49">
        <f t="shared" si="40"/>
        <v>19</v>
      </c>
      <c r="F36" s="46">
        <f t="shared" si="41"/>
        <v>22238.005369568189</v>
      </c>
      <c r="G36" s="94">
        <f>IF(ISERROR(VLOOKUP(C36,'TABLES-ACTUAL &amp; FUTURE RATES'!$D$9:$F$80,2,FALSE)),0,VLOOKUP(C36,'TABLES-ACTUAL &amp; FUTURE RATES'!$D$9:$F$80,2,FALSE))</f>
        <v>0.02</v>
      </c>
      <c r="H36" s="5">
        <f t="shared" si="2"/>
        <v>444.76010739136382</v>
      </c>
      <c r="I36" s="5">
        <f t="shared" si="3"/>
        <v>22682.765476959554</v>
      </c>
      <c r="J36" s="317">
        <f t="shared" si="42"/>
        <v>0.89473684210526316</v>
      </c>
      <c r="K36" s="314">
        <f t="shared" si="43"/>
        <v>0.10526315789473684</v>
      </c>
      <c r="L36">
        <f t="shared" si="4"/>
        <v>2035</v>
      </c>
      <c r="M36" s="93">
        <f>IF(ISERROR(VLOOKUP(C36,'TABLES-ACTUAL &amp; FUTURE RATES'!$J$9:$K$80,2,FALSE)),0,VLOOKUP(C36,'TABLES-ACTUAL &amp; FUTURE RATES'!$J$9:$K$80,2,FALSE))</f>
        <v>0</v>
      </c>
      <c r="N36" s="7">
        <f t="shared" si="5"/>
        <v>32.92939958938404</v>
      </c>
      <c r="O36" s="47">
        <f t="shared" si="44"/>
        <v>15674.394204546803</v>
      </c>
      <c r="P36" s="8">
        <f t="shared" si="45"/>
        <v>292167.46035308903</v>
      </c>
      <c r="Q36" s="9">
        <f t="shared" si="6"/>
        <v>-7008.3712724127508</v>
      </c>
      <c r="R36" s="48">
        <f t="shared" si="46"/>
        <v>-69779.877899047948</v>
      </c>
      <c r="T36" s="93">
        <f>IF(ISERROR(VLOOKUP(C36,'TABLES-ACTUAL &amp; FUTURE RATES'!$L$9:$M$80,2,FALSE)),0,VLOOKUP(C36,'TABLES-ACTUAL &amp; FUTURE RATES'!$L$9:$M$80,2,FALSE))</f>
        <v>0</v>
      </c>
      <c r="U36" s="7">
        <f t="shared" si="7"/>
        <v>33.520049693626014</v>
      </c>
      <c r="V36" s="47">
        <f t="shared" si="47"/>
        <v>15955.543654165986</v>
      </c>
      <c r="W36" s="9">
        <f t="shared" si="8"/>
        <v>-6727.2218227935682</v>
      </c>
      <c r="X36" s="48">
        <f t="shared" si="48"/>
        <v>-67288.511494636681</v>
      </c>
      <c r="Z36" s="93">
        <f>IF(ISERROR(VLOOKUP(C36,'TABLES-ACTUAL &amp; FUTURE RATES'!$N$9:$O$80,2,FALSE)),0,VLOOKUP(C36,'TABLES-ACTUAL &amp; FUTURE RATES'!$N$9:$O$80,2,FALSE))</f>
        <v>0.02</v>
      </c>
      <c r="AA36" s="7">
        <f t="shared" si="9"/>
        <v>354.09126887608647</v>
      </c>
      <c r="AB36" s="47">
        <f t="shared" si="49"/>
        <v>18058.654712680411</v>
      </c>
      <c r="AC36" s="9">
        <f t="shared" si="10"/>
        <v>-4624.110764279143</v>
      </c>
      <c r="AD36" s="48">
        <f t="shared" si="50"/>
        <v>-51333.349136139048</v>
      </c>
      <c r="AF36" s="93">
        <f>IF(ISERROR(VLOOKUP(C36,'TABLES-ACTUAL &amp; FUTURE RATES'!$P$9:$Q$80,2,FALSE)),0,VLOOKUP(C36,'TABLES-ACTUAL &amp; FUTURE RATES'!$P$9:$Q$80,2,FALSE))</f>
        <v>0.01</v>
      </c>
      <c r="AG36" s="7">
        <f t="shared" si="11"/>
        <v>195.78932402852263</v>
      </c>
      <c r="AH36" s="47">
        <f t="shared" si="51"/>
        <v>17910.061498037714</v>
      </c>
      <c r="AI36" s="24">
        <f t="shared" si="12"/>
        <v>-4772.7039789218397</v>
      </c>
      <c r="AJ36" s="48">
        <f t="shared" si="52"/>
        <v>-52433.772666491197</v>
      </c>
      <c r="AL36" s="93">
        <f>IF(ISERROR(VLOOKUP(C36,'TABLES-ACTUAL &amp; FUTURE RATES'!$R$9:$S$80,2,FALSE)),0,VLOOKUP(C36,'TABLES-ACTUAL &amp; FUTURE RATES'!$R$9:$S$80,2,FALSE))</f>
        <v>0.02</v>
      </c>
      <c r="AM36" s="7">
        <f t="shared" si="13"/>
        <v>366.99397993075297</v>
      </c>
      <c r="AN36" s="47">
        <f t="shared" si="53"/>
        <v>18716.692976468403</v>
      </c>
      <c r="AO36" s="9">
        <f t="shared" si="14"/>
        <v>-3966.072500491151</v>
      </c>
      <c r="AP36" s="48">
        <f t="shared" si="54"/>
        <v>-47083.238433577411</v>
      </c>
      <c r="AR36" s="32">
        <f>IF(ISERROR(VLOOKUP(C36,'TABLES-ACTUAL &amp; FUTURE RATES'!$T$9:$V$80,3,FALSE)),0,VLOOKUP(C36,'TABLES-ACTUAL &amp; FUTURE RATES'!$T$9:$V$80,3,FALSE))</f>
        <v>0.5</v>
      </c>
      <c r="AS36" s="93">
        <f>IF(ISERROR(VLOOKUP(C36,'TABLES-ACTUAL &amp; FUTURE RATES'!$T$9:$U$80,2,FALSE)),0,VLOOKUP(C36,'TABLES-ACTUAL &amp; FUTURE RATES'!$T$9:$U$80,2,FALSE))</f>
        <v>0.01</v>
      </c>
      <c r="AT36" s="7">
        <f t="shared" si="15"/>
        <v>210.09975912984407</v>
      </c>
      <c r="AU36" s="47">
        <f t="shared" si="55"/>
        <v>19219.125585163354</v>
      </c>
      <c r="AV36" s="9">
        <f t="shared" si="16"/>
        <v>-3463.6398917961997</v>
      </c>
      <c r="AW36" s="48">
        <f t="shared" si="56"/>
        <v>-39005.08451183889</v>
      </c>
      <c r="AX36" s="259"/>
      <c r="AY36">
        <f t="shared" si="17"/>
        <v>80</v>
      </c>
      <c r="AZ36" s="9">
        <f t="shared" si="24"/>
        <v>15955.543654165986</v>
      </c>
      <c r="BA36" s="9">
        <f t="shared" si="25"/>
        <v>281.14944961918263</v>
      </c>
      <c r="BB36" s="9">
        <f t="shared" si="57"/>
        <v>294658.82675750024</v>
      </c>
      <c r="BC36" s="9">
        <f t="shared" si="26"/>
        <v>2491.3664044112084</v>
      </c>
      <c r="BD36" s="9">
        <f t="shared" si="27"/>
        <v>18058.654712680411</v>
      </c>
      <c r="BE36" s="9">
        <f t="shared" si="28"/>
        <v>2384.2605081336078</v>
      </c>
      <c r="BF36" s="9">
        <f t="shared" si="58"/>
        <v>310613.98911599792</v>
      </c>
      <c r="BG36" s="9">
        <f t="shared" si="29"/>
        <v>18446.528762908885</v>
      </c>
      <c r="BH36" s="9">
        <f t="shared" si="30"/>
        <v>17910.061498037714</v>
      </c>
      <c r="BI36" s="9">
        <f t="shared" si="31"/>
        <v>2235.6672934909111</v>
      </c>
      <c r="BJ36" s="9">
        <f t="shared" si="59"/>
        <v>309513.56558564579</v>
      </c>
      <c r="BK36" s="9">
        <f t="shared" si="32"/>
        <v>17346.105232556758</v>
      </c>
      <c r="BL36" s="9">
        <f t="shared" si="33"/>
        <v>18716.692976468403</v>
      </c>
      <c r="BM36" s="9">
        <f t="shared" si="34"/>
        <v>3042.2987719215998</v>
      </c>
      <c r="BN36" s="9">
        <f t="shared" si="60"/>
        <v>314864.09981855954</v>
      </c>
      <c r="BO36" s="9">
        <f t="shared" si="35"/>
        <v>22696.639465470507</v>
      </c>
      <c r="BP36" s="9">
        <f t="shared" si="36"/>
        <v>19219.125585163354</v>
      </c>
      <c r="BQ36" s="9">
        <f t="shared" si="37"/>
        <v>3544.7313806165512</v>
      </c>
      <c r="BR36" s="9">
        <f t="shared" si="61"/>
        <v>322942.2537402981</v>
      </c>
      <c r="BS36" s="9">
        <f t="shared" si="38"/>
        <v>30774.793387209065</v>
      </c>
      <c r="BV36" s="373">
        <f t="shared" si="18"/>
        <v>444.76010739136382</v>
      </c>
      <c r="BW36" s="374">
        <f t="shared" si="19"/>
        <v>22682.765476959554</v>
      </c>
      <c r="BX36" s="378">
        <f t="shared" si="39"/>
        <v>0.41830000000000012</v>
      </c>
      <c r="BY36" s="9">
        <f t="shared" si="20"/>
        <v>6274.5000000000018</v>
      </c>
      <c r="BZ36" s="323">
        <f t="shared" si="21"/>
        <v>21274.5</v>
      </c>
      <c r="CA36" s="361"/>
    </row>
    <row r="37" spans="3:79" ht="17" thickBot="1">
      <c r="C37" s="322">
        <f t="shared" si="22"/>
        <v>2036</v>
      </c>
      <c r="D37" s="57">
        <f t="shared" si="23"/>
        <v>81</v>
      </c>
      <c r="E37" s="62">
        <f t="shared" si="40"/>
        <v>20</v>
      </c>
      <c r="F37" s="50">
        <f t="shared" ref="F37:F38" si="62">I36</f>
        <v>22682.765476959554</v>
      </c>
      <c r="G37" s="94">
        <f>IF(ISERROR(VLOOKUP(C37,'TABLES-ACTUAL &amp; FUTURE RATES'!$D$9:$F$80,2,FALSE)),0,VLOOKUP(C37,'TABLES-ACTUAL &amp; FUTURE RATES'!$D$9:$F$80,2,FALSE))</f>
        <v>0.02</v>
      </c>
      <c r="H37" s="5">
        <f t="shared" si="2"/>
        <v>453.65530953919108</v>
      </c>
      <c r="I37" s="5">
        <f t="shared" si="3"/>
        <v>23136.420786498744</v>
      </c>
      <c r="J37" s="317">
        <f t="shared" si="42"/>
        <v>0.89473684210526316</v>
      </c>
      <c r="K37" s="314">
        <f t="shared" si="43"/>
        <v>0.10526315789473684</v>
      </c>
      <c r="L37">
        <f t="shared" si="4"/>
        <v>2036</v>
      </c>
      <c r="M37" s="93">
        <f>IF(ISERROR(VLOOKUP(C37,'TABLES-ACTUAL &amp; FUTURE RATES'!$J$9:$K$80,2,FALSE)),0,VLOOKUP(C37,'TABLES-ACTUAL &amp; FUTURE RATES'!$J$9:$K$80,2,FALSE))</f>
        <v>0</v>
      </c>
      <c r="N37" s="7">
        <f t="shared" si="5"/>
        <v>32.998724641151163</v>
      </c>
      <c r="O37" s="52">
        <f t="shared" ref="O37:O38" si="63">O36+N37</f>
        <v>15707.392929187954</v>
      </c>
      <c r="P37" s="8">
        <f t="shared" si="45"/>
        <v>307874.85328227701</v>
      </c>
      <c r="Q37" s="9">
        <f t="shared" si="6"/>
        <v>-7429.0278573107898</v>
      </c>
      <c r="R37" s="53">
        <f t="shared" ref="R37:R38" si="64">R36+Q37</f>
        <v>-77208.905756358741</v>
      </c>
      <c r="S37" s="51"/>
      <c r="T37" s="93">
        <f>IF(ISERROR(VLOOKUP(C37,'TABLES-ACTUAL &amp; FUTURE RATES'!$L$9:$M$80,2,FALSE)),0,VLOOKUP(C37,'TABLES-ACTUAL &amp; FUTURE RATES'!$L$9:$M$80,2,FALSE))</f>
        <v>0</v>
      </c>
      <c r="U37" s="7">
        <f t="shared" si="7"/>
        <v>33.590618219296815</v>
      </c>
      <c r="V37" s="52">
        <f t="shared" ref="V37:V38" si="65">V36+U37</f>
        <v>15989.134272385283</v>
      </c>
      <c r="W37" s="9">
        <f t="shared" si="8"/>
        <v>-7147.2865141134607</v>
      </c>
      <c r="X37" s="53">
        <f t="shared" ref="X37:X38" si="66">X36+W37</f>
        <v>-74435.798008750135</v>
      </c>
      <c r="Y37" s="51"/>
      <c r="Z37" s="93">
        <f>IF(ISERROR(VLOOKUP(C37,'TABLES-ACTUAL &amp; FUTURE RATES'!$N$9:$O$80,2,FALSE)),0,VLOOKUP(C37,'TABLES-ACTUAL &amp; FUTURE RATES'!$N$9:$O$80,2,FALSE))</f>
        <v>0</v>
      </c>
      <c r="AA37" s="7">
        <f t="shared" si="9"/>
        <v>38.018220447748234</v>
      </c>
      <c r="AB37" s="52">
        <f t="shared" ref="AB37:AB38" si="67">AB36+AA37</f>
        <v>18096.67293312816</v>
      </c>
      <c r="AC37" s="9">
        <f t="shared" si="10"/>
        <v>-5039.7478533705835</v>
      </c>
      <c r="AD37" s="53">
        <f t="shared" ref="AD37:AD38" si="68">AD36+AC37</f>
        <v>-56373.096989509635</v>
      </c>
      <c r="AE37" s="51"/>
      <c r="AF37" s="93">
        <f>IF(ISERROR(VLOOKUP(C37,'TABLES-ACTUAL &amp; FUTURE RATES'!$P$9:$Q$80,2,FALSE)),0,VLOOKUP(C37,'TABLES-ACTUAL &amp; FUTURE RATES'!$P$9:$Q$80,2,FALSE))</f>
        <v>0.01</v>
      </c>
      <c r="AG37" s="7">
        <f t="shared" si="11"/>
        <v>197.95331129410107</v>
      </c>
      <c r="AH37" s="52">
        <f t="shared" ref="AH37:AH38" si="69">AH36+AG37</f>
        <v>18108.014809331817</v>
      </c>
      <c r="AI37" s="24">
        <f t="shared" si="12"/>
        <v>-5028.4059771669272</v>
      </c>
      <c r="AJ37" s="53">
        <f t="shared" ref="AJ37:AJ38" si="70">AJ36+AI37</f>
        <v>-57462.178643658124</v>
      </c>
      <c r="AK37" s="51"/>
      <c r="AL37" s="93">
        <f>IF(ISERROR(VLOOKUP(C37,'TABLES-ACTUAL &amp; FUTURE RATES'!$R$9:$S$80,2,FALSE)),0,VLOOKUP(C37,'TABLES-ACTUAL &amp; FUTURE RATES'!$R$9:$S$80,2,FALSE))</f>
        <v>0.01</v>
      </c>
      <c r="AM37" s="7">
        <f t="shared" si="13"/>
        <v>206.86871184517707</v>
      </c>
      <c r="AN37" s="52">
        <f t="shared" ref="AN37:AN38" si="71">AN36+AM37</f>
        <v>18923.561688313581</v>
      </c>
      <c r="AO37" s="9">
        <f t="shared" si="14"/>
        <v>-4212.859098185163</v>
      </c>
      <c r="AP37" s="53">
        <f t="shared" ref="AP37:AP38" si="72">AP36+AO37</f>
        <v>-51296.097531762571</v>
      </c>
      <c r="AQ37" s="51"/>
      <c r="AR37" s="32">
        <f>IF(ISERROR(VLOOKUP(C37,'TABLES-ACTUAL &amp; FUTURE RATES'!$T$9:$V$80,3,FALSE)),0,VLOOKUP(C37,'TABLES-ACTUAL &amp; FUTURE RATES'!$T$9:$V$80,3,FALSE))</f>
        <v>0.5</v>
      </c>
      <c r="AS37" s="93">
        <f>IF(ISERROR(VLOOKUP(C37,'TABLES-ACTUAL &amp; FUTURE RATES'!$T$9:$U$80,2,FALSE)),0,VLOOKUP(C37,'TABLES-ACTUAL &amp; FUTURE RATES'!$T$9:$U$80,2,FALSE))</f>
        <v>0.01</v>
      </c>
      <c r="AT37" s="7">
        <f t="shared" si="15"/>
        <v>212.42191436233179</v>
      </c>
      <c r="AU37" s="52">
        <f t="shared" ref="AU37:AU38" si="73">AU36+AT37</f>
        <v>19431.547499525685</v>
      </c>
      <c r="AV37" s="9">
        <f t="shared" si="16"/>
        <v>-3704.8732869730593</v>
      </c>
      <c r="AW37" s="54">
        <f t="shared" ref="AW37:AW38" si="74">AW36+AV37</f>
        <v>-42709.957798811949</v>
      </c>
      <c r="AX37" s="259"/>
      <c r="AY37">
        <f t="shared" si="17"/>
        <v>81</v>
      </c>
      <c r="AZ37" s="9">
        <f t="shared" si="24"/>
        <v>15989.134272385283</v>
      </c>
      <c r="BA37" s="9">
        <f t="shared" si="25"/>
        <v>281.74134319732912</v>
      </c>
      <c r="BB37" s="9">
        <f t="shared" si="57"/>
        <v>310647.96102988551</v>
      </c>
      <c r="BC37" s="9">
        <f t="shared" si="26"/>
        <v>2773.1077476085047</v>
      </c>
      <c r="BD37" s="9">
        <f t="shared" si="27"/>
        <v>18096.67293312816</v>
      </c>
      <c r="BE37" s="9">
        <f t="shared" si="28"/>
        <v>2389.2800039402064</v>
      </c>
      <c r="BF37" s="9">
        <f t="shared" si="58"/>
        <v>328710.66204912605</v>
      </c>
      <c r="BG37" s="9">
        <f t="shared" si="29"/>
        <v>20835.808766849048</v>
      </c>
      <c r="BH37" s="9">
        <f t="shared" si="30"/>
        <v>18108.014809331817</v>
      </c>
      <c r="BI37" s="9">
        <f t="shared" si="31"/>
        <v>2400.6218801438627</v>
      </c>
      <c r="BJ37" s="9">
        <f t="shared" si="59"/>
        <v>327621.58039497759</v>
      </c>
      <c r="BK37" s="9">
        <f t="shared" si="32"/>
        <v>19746.727112700581</v>
      </c>
      <c r="BL37" s="9">
        <f t="shared" si="33"/>
        <v>18923.561688313581</v>
      </c>
      <c r="BM37" s="9">
        <f t="shared" si="34"/>
        <v>3216.1687591256268</v>
      </c>
      <c r="BN37" s="9">
        <f t="shared" si="60"/>
        <v>333787.66150687309</v>
      </c>
      <c r="BO37" s="9">
        <f t="shared" si="35"/>
        <v>25912.808224596083</v>
      </c>
      <c r="BP37" s="9">
        <f t="shared" si="36"/>
        <v>19431.547499525685</v>
      </c>
      <c r="BQ37" s="9">
        <f t="shared" si="37"/>
        <v>3724.1545703377305</v>
      </c>
      <c r="BR37" s="9">
        <f t="shared" si="61"/>
        <v>342373.80123982381</v>
      </c>
      <c r="BS37" s="9">
        <f t="shared" si="38"/>
        <v>34498.947957546799</v>
      </c>
      <c r="BV37" s="373">
        <f t="shared" si="18"/>
        <v>453.65530953919108</v>
      </c>
      <c r="BW37" s="374">
        <f t="shared" si="19"/>
        <v>23136.420786498744</v>
      </c>
      <c r="BX37" s="378">
        <f t="shared" si="39"/>
        <v>0.43830000000000013</v>
      </c>
      <c r="BY37" s="9">
        <f t="shared" si="20"/>
        <v>6574.5000000000018</v>
      </c>
      <c r="BZ37" s="323">
        <f t="shared" si="21"/>
        <v>21574.5</v>
      </c>
      <c r="CA37" s="361"/>
    </row>
    <row r="38" spans="3:79" ht="17" thickBot="1">
      <c r="C38" s="322">
        <f t="shared" si="22"/>
        <v>2037</v>
      </c>
      <c r="D38" s="57">
        <f t="shared" si="23"/>
        <v>82</v>
      </c>
      <c r="E38" s="63">
        <f t="shared" si="40"/>
        <v>21</v>
      </c>
      <c r="F38" s="10">
        <f t="shared" si="62"/>
        <v>23136.420786498744</v>
      </c>
      <c r="G38" s="94">
        <f>IF(ISERROR(VLOOKUP(C38,'TABLES-ACTUAL &amp; FUTURE RATES'!$D$9:$F$80,2,FALSE)),0,VLOOKUP(C38,'TABLES-ACTUAL &amp; FUTURE RATES'!$D$9:$F$80,2,FALSE))</f>
        <v>0.02</v>
      </c>
      <c r="H38" s="5">
        <f t="shared" si="2"/>
        <v>462.72841572997487</v>
      </c>
      <c r="I38" s="5">
        <f t="shared" si="3"/>
        <v>23599.14920222872</v>
      </c>
      <c r="J38" s="317">
        <f t="shared" si="42"/>
        <v>0.89473684210526316</v>
      </c>
      <c r="K38" s="314">
        <f t="shared" si="43"/>
        <v>0.10526315789473684</v>
      </c>
      <c r="L38">
        <f t="shared" si="4"/>
        <v>2037</v>
      </c>
      <c r="M38" s="93">
        <f>IF(ISERROR(VLOOKUP(C38,'TABLES-ACTUAL &amp; FUTURE RATES'!$J$9:$K$80,2,FALSE)),0,VLOOKUP(C38,'TABLES-ACTUAL &amp; FUTURE RATES'!$J$9:$K$80,2,FALSE))</f>
        <v>0</v>
      </c>
      <c r="N38" s="7">
        <f t="shared" si="5"/>
        <v>33.068195640395693</v>
      </c>
      <c r="O38" s="23">
        <f t="shared" si="63"/>
        <v>15740.461124828349</v>
      </c>
      <c r="P38" s="8">
        <f t="shared" si="45"/>
        <v>323615.31440710538</v>
      </c>
      <c r="Q38" s="9">
        <f t="shared" si="6"/>
        <v>-7858.6880774003712</v>
      </c>
      <c r="R38" s="24">
        <f t="shared" si="64"/>
        <v>-85067.593833759107</v>
      </c>
      <c r="T38" s="93">
        <f>IF(ISERROR(VLOOKUP(C38,'TABLES-ACTUAL &amp; FUTURE RATES'!$L$9:$M$80,2,FALSE)),0,VLOOKUP(C38,'TABLES-ACTUAL &amp; FUTURE RATES'!$L$9:$M$80,2,FALSE))</f>
        <v>0</v>
      </c>
      <c r="U38" s="7">
        <f t="shared" si="7"/>
        <v>33.661335310284805</v>
      </c>
      <c r="V38" s="23">
        <f t="shared" si="65"/>
        <v>16022.795607695567</v>
      </c>
      <c r="W38" s="9">
        <f t="shared" si="8"/>
        <v>-7576.3535945331532</v>
      </c>
      <c r="X38" s="24">
        <f t="shared" si="66"/>
        <v>-82012.151603283288</v>
      </c>
      <c r="Z38" s="93">
        <f>IF(ISERROR(VLOOKUP(C38,'TABLES-ACTUAL &amp; FUTURE RATES'!$N$9:$O$80,2,FALSE)),0,VLOOKUP(C38,'TABLES-ACTUAL &amp; FUTURE RATES'!$N$9:$O$80,2,FALSE))</f>
        <v>0.02</v>
      </c>
      <c r="AA38" s="7">
        <f t="shared" si="9"/>
        <v>361.93345866256323</v>
      </c>
      <c r="AB38" s="23">
        <f t="shared" si="67"/>
        <v>18458.606391790723</v>
      </c>
      <c r="AC38" s="9">
        <f t="shared" si="10"/>
        <v>-5140.5428104379971</v>
      </c>
      <c r="AD38" s="24">
        <f t="shared" si="68"/>
        <v>-61513.639799947632</v>
      </c>
      <c r="AF38" s="93">
        <f>IF(ISERROR(VLOOKUP(C38,'TABLES-ACTUAL &amp; FUTURE RATES'!$P$9:$Q$80,2,FALSE)),0,VLOOKUP(C38,'TABLES-ACTUAL &amp; FUTURE RATES'!$P$9:$Q$80,2,FALSE))</f>
        <v>0.01</v>
      </c>
      <c r="AG38" s="7">
        <f t="shared" si="11"/>
        <v>200.14121631366746</v>
      </c>
      <c r="AH38" s="23">
        <f t="shared" si="69"/>
        <v>18308.156025645483</v>
      </c>
      <c r="AI38" s="24">
        <f t="shared" si="12"/>
        <v>-5290.9931765832371</v>
      </c>
      <c r="AJ38" s="24">
        <f t="shared" si="70"/>
        <v>-62753.171820241361</v>
      </c>
      <c r="AL38" s="93">
        <f>IF(ISERROR(VLOOKUP(C38,'TABLES-ACTUAL &amp; FUTURE RATES'!$R$9:$S$80,2,FALSE)),0,VLOOKUP(C38,'TABLES-ACTUAL &amp; FUTURE RATES'!$R$9:$S$80,2,FALSE))</f>
        <v>0.01</v>
      </c>
      <c r="AM38" s="7">
        <f t="shared" si="13"/>
        <v>209.15515550241327</v>
      </c>
      <c r="AN38" s="23">
        <f t="shared" si="71"/>
        <v>19132.716843815993</v>
      </c>
      <c r="AO38" s="9">
        <f t="shared" si="14"/>
        <v>-4466.4323584127269</v>
      </c>
      <c r="AP38" s="24">
        <f t="shared" si="72"/>
        <v>-55762.529890175298</v>
      </c>
      <c r="AR38" s="32">
        <f>IF(ISERROR(VLOOKUP(C38,'TABLES-ACTUAL &amp; FUTURE RATES'!$T$9:$V$80,3,FALSE)),0,VLOOKUP(C38,'TABLES-ACTUAL &amp; FUTURE RATES'!$T$9:$V$80,3,FALSE))</f>
        <v>0.5</v>
      </c>
      <c r="AS38" s="93">
        <f>IF(ISERROR(VLOOKUP(C38,'TABLES-ACTUAL &amp; FUTURE RATES'!$T$9:$U$80,2,FALSE)),0,VLOOKUP(C38,'TABLES-ACTUAL &amp; FUTURE RATES'!$T$9:$U$80,2,FALSE))</f>
        <v>0.01</v>
      </c>
      <c r="AT38" s="7">
        <f t="shared" si="15"/>
        <v>214.76973552107336</v>
      </c>
      <c r="AU38" s="23">
        <f t="shared" si="73"/>
        <v>19646.317235046758</v>
      </c>
      <c r="AV38" s="9">
        <f t="shared" si="16"/>
        <v>-3952.8319671819627</v>
      </c>
      <c r="AW38" s="24">
        <f t="shared" si="74"/>
        <v>-46662.789765993912</v>
      </c>
      <c r="AX38" s="259"/>
      <c r="AY38">
        <f t="shared" si="17"/>
        <v>82</v>
      </c>
      <c r="AZ38" s="9">
        <f t="shared" si="24"/>
        <v>16022.795607695567</v>
      </c>
      <c r="BA38" s="9">
        <f t="shared" si="25"/>
        <v>282.33448286721796</v>
      </c>
      <c r="BB38" s="9">
        <f t="shared" si="57"/>
        <v>326670.7566375811</v>
      </c>
      <c r="BC38" s="9">
        <f t="shared" si="26"/>
        <v>3055.4422304757172</v>
      </c>
      <c r="BD38" s="9">
        <f t="shared" si="27"/>
        <v>18458.606391790723</v>
      </c>
      <c r="BE38" s="9">
        <f t="shared" si="28"/>
        <v>2718.1452669623741</v>
      </c>
      <c r="BF38" s="9">
        <f t="shared" si="58"/>
        <v>347169.26844091679</v>
      </c>
      <c r="BG38" s="9">
        <f t="shared" si="29"/>
        <v>23553.954033811402</v>
      </c>
      <c r="BH38" s="9">
        <f t="shared" si="30"/>
        <v>18308.156025645483</v>
      </c>
      <c r="BI38" s="9">
        <f t="shared" si="31"/>
        <v>2567.6949008171341</v>
      </c>
      <c r="BJ38" s="9">
        <f t="shared" si="59"/>
        <v>345929.73642062308</v>
      </c>
      <c r="BK38" s="9">
        <f t="shared" si="32"/>
        <v>22314.422013517702</v>
      </c>
      <c r="BL38" s="9">
        <f t="shared" si="33"/>
        <v>19132.716843815993</v>
      </c>
      <c r="BM38" s="9">
        <f t="shared" si="34"/>
        <v>3392.2557189876443</v>
      </c>
      <c r="BN38" s="9">
        <f t="shared" si="60"/>
        <v>352920.37835068908</v>
      </c>
      <c r="BO38" s="9">
        <f t="shared" si="35"/>
        <v>29305.063943583693</v>
      </c>
      <c r="BP38" s="9">
        <f t="shared" si="36"/>
        <v>19646.317235046758</v>
      </c>
      <c r="BQ38" s="9">
        <f t="shared" si="37"/>
        <v>3905.8561102184085</v>
      </c>
      <c r="BR38" s="9">
        <f t="shared" si="61"/>
        <v>362020.11847487057</v>
      </c>
      <c r="BS38" s="9">
        <f t="shared" si="38"/>
        <v>38404.804067765188</v>
      </c>
      <c r="BV38" s="373">
        <f t="shared" si="18"/>
        <v>462.72841572997487</v>
      </c>
      <c r="BW38" s="374">
        <f t="shared" si="19"/>
        <v>23599.14920222872</v>
      </c>
      <c r="BX38" s="378">
        <f t="shared" si="39"/>
        <v>0.45830000000000015</v>
      </c>
      <c r="BY38" s="9">
        <f t="shared" si="20"/>
        <v>6874.5000000000027</v>
      </c>
      <c r="BZ38" s="323">
        <f t="shared" si="21"/>
        <v>21874.500000000004</v>
      </c>
      <c r="CA38" s="361"/>
    </row>
    <row r="39" spans="3:79" ht="17" thickBot="1">
      <c r="C39" s="322">
        <f t="shared" si="22"/>
        <v>2038</v>
      </c>
      <c r="D39" s="57">
        <f t="shared" si="23"/>
        <v>83</v>
      </c>
      <c r="E39" s="31">
        <f t="shared" si="40"/>
        <v>22</v>
      </c>
      <c r="F39" s="5">
        <f t="shared" ref="F39:F44" si="75">I38</f>
        <v>23599.14920222872</v>
      </c>
      <c r="G39" s="94">
        <f>IF(ISERROR(VLOOKUP(C39,'TABLES-ACTUAL &amp; FUTURE RATES'!$D$9:$F$80,2,FALSE)),0,VLOOKUP(C39,'TABLES-ACTUAL &amp; FUTURE RATES'!$D$9:$F$80,2,FALSE))</f>
        <v>0.02</v>
      </c>
      <c r="H39" s="5">
        <f t="shared" si="2"/>
        <v>471.98298404457444</v>
      </c>
      <c r="I39" s="5">
        <f t="shared" si="3"/>
        <v>24071.132186273295</v>
      </c>
      <c r="J39" s="317">
        <f t="shared" si="42"/>
        <v>0.89473684210526316</v>
      </c>
      <c r="K39" s="314">
        <f t="shared" si="43"/>
        <v>0.10526315789473684</v>
      </c>
      <c r="L39">
        <f t="shared" si="4"/>
        <v>2038</v>
      </c>
      <c r="M39" s="93">
        <f>IF(ISERROR(VLOOKUP(C39,'TABLES-ACTUAL &amp; FUTURE RATES'!$J$9:$K$80,2,FALSE)),0,VLOOKUP(C39,'TABLES-ACTUAL &amp; FUTURE RATES'!$J$9:$K$80,2,FALSE))</f>
        <v>0</v>
      </c>
      <c r="N39" s="7">
        <f t="shared" si="5"/>
        <v>33.137812894375472</v>
      </c>
      <c r="O39" s="8">
        <f t="shared" ref="O39:O44" si="76">O38+N39</f>
        <v>15773.598937722725</v>
      </c>
      <c r="P39" s="8">
        <f t="shared" si="45"/>
        <v>339388.91334482812</v>
      </c>
      <c r="Q39" s="9">
        <f t="shared" si="6"/>
        <v>-8297.5332485505696</v>
      </c>
      <c r="R39" s="9">
        <f t="shared" ref="R39:R44" si="77">R38+Q39</f>
        <v>-93365.127082309671</v>
      </c>
      <c r="T39" s="93">
        <f>IF(ISERROR(VLOOKUP(C39,'TABLES-ACTUAL &amp; FUTURE RATES'!$L$9:$M$80,2,FALSE)),0,VLOOKUP(C39,'TABLES-ACTUAL &amp; FUTURE RATES'!$L$9:$M$80,2,FALSE))</f>
        <v>0</v>
      </c>
      <c r="U39" s="7">
        <f t="shared" si="7"/>
        <v>33.732201279359089</v>
      </c>
      <c r="V39" s="8">
        <f t="shared" ref="V39:V44" si="78">V38+U39</f>
        <v>16056.527808974926</v>
      </c>
      <c r="W39" s="9">
        <f t="shared" si="8"/>
        <v>-8014.6043772983685</v>
      </c>
      <c r="X39" s="9">
        <f t="shared" ref="X39:X44" si="79">X38+W39</f>
        <v>-90026.755980581656</v>
      </c>
      <c r="Z39" s="93">
        <f>IF(ISERROR(VLOOKUP(C39,'TABLES-ACTUAL &amp; FUTURE RATES'!$N$9:$O$80,2,FALSE)),0,VLOOKUP(C39,'TABLES-ACTUAL &amp; FUTURE RATES'!$N$9:$O$80,2,FALSE))</f>
        <v>0</v>
      </c>
      <c r="AA39" s="7">
        <f t="shared" si="9"/>
        <v>38.860223982717315</v>
      </c>
      <c r="AB39" s="8">
        <f t="shared" ref="AB39:AB44" si="80">AB38+AA39</f>
        <v>18497.466615773439</v>
      </c>
      <c r="AC39" s="9">
        <f t="shared" si="10"/>
        <v>-5573.6655704998557</v>
      </c>
      <c r="AD39" s="9">
        <f t="shared" ref="AD39:AD44" si="81">AD38+AC39</f>
        <v>-67087.305370447488</v>
      </c>
      <c r="AF39" s="93">
        <f>IF(ISERROR(VLOOKUP(C39,'TABLES-ACTUAL &amp; FUTURE RATES'!$P$9:$Q$80,2,FALSE)),0,VLOOKUP(C39,'TABLES-ACTUAL &amp; FUTURE RATES'!$P$9:$Q$80,2,FALSE))</f>
        <v>0.01</v>
      </c>
      <c r="AG39" s="7">
        <f t="shared" si="11"/>
        <v>202.35330344134482</v>
      </c>
      <c r="AH39" s="8">
        <f t="shared" ref="AH39:AH44" si="82">AH38+AG39</f>
        <v>18510.509329086828</v>
      </c>
      <c r="AI39" s="24">
        <f t="shared" si="12"/>
        <v>-5560.6228571864667</v>
      </c>
      <c r="AJ39" s="9">
        <f t="shared" ref="AJ39:AJ44" si="83">AJ38+AI39</f>
        <v>-68313.794677427824</v>
      </c>
      <c r="AL39" s="93">
        <f>IF(ISERROR(VLOOKUP(C39,'TABLES-ACTUAL &amp; FUTURE RATES'!$R$9:$S$80,2,FALSE)),0,VLOOKUP(C39,'TABLES-ACTUAL &amp; FUTURE RATES'!$R$9:$S$80,2,FALSE))</f>
        <v>0.02</v>
      </c>
      <c r="AM39" s="7">
        <f t="shared" si="13"/>
        <v>382.65433687631986</v>
      </c>
      <c r="AN39" s="8">
        <f t="shared" ref="AN39:AN44" si="84">AN38+AM39</f>
        <v>19515.371180692313</v>
      </c>
      <c r="AO39" s="9">
        <f t="shared" si="14"/>
        <v>-4555.7610055809819</v>
      </c>
      <c r="AP39" s="9">
        <f t="shared" ref="AP39:AP44" si="85">AP38+AO39</f>
        <v>-60318.290895756276</v>
      </c>
      <c r="AR39" s="32">
        <f>IF(ISERROR(VLOOKUP(C39,'TABLES-ACTUAL &amp; FUTURE RATES'!$T$9:$V$80,3,FALSE)),0,VLOOKUP(C39,'TABLES-ACTUAL &amp; FUTURE RATES'!$T$9:$V$80,3,FALSE))</f>
        <v>0.5</v>
      </c>
      <c r="AS39" s="93">
        <f>IF(ISERROR(VLOOKUP(C39,'TABLES-ACTUAL &amp; FUTURE RATES'!$T$9:$U$80,2,FALSE)),0,VLOOKUP(C39,'TABLES-ACTUAL &amp; FUTURE RATES'!$T$9:$U$80,2,FALSE))</f>
        <v>0.01</v>
      </c>
      <c r="AT39" s="7">
        <f t="shared" si="15"/>
        <v>217.14350628209576</v>
      </c>
      <c r="AU39" s="8">
        <f t="shared" ref="AU39:AU44" si="86">AU38+AT39</f>
        <v>19863.460741328854</v>
      </c>
      <c r="AV39" s="9">
        <f t="shared" si="16"/>
        <v>-4207.6714449444407</v>
      </c>
      <c r="AW39" s="9">
        <f t="shared" ref="AW39:AW44" si="87">AW38+AV39</f>
        <v>-50870.461210938352</v>
      </c>
      <c r="AX39" s="259"/>
      <c r="AY39">
        <f t="shared" si="17"/>
        <v>83</v>
      </c>
      <c r="AZ39" s="9">
        <f t="shared" si="24"/>
        <v>16056.527808974926</v>
      </c>
      <c r="BA39" s="9">
        <f t="shared" si="25"/>
        <v>282.92887125220113</v>
      </c>
      <c r="BB39" s="9">
        <f t="shared" si="57"/>
        <v>342727.284446556</v>
      </c>
      <c r="BC39" s="9">
        <f t="shared" si="26"/>
        <v>3338.3711017278838</v>
      </c>
      <c r="BD39" s="9">
        <f t="shared" si="27"/>
        <v>18497.466615773439</v>
      </c>
      <c r="BE39" s="9">
        <f t="shared" si="28"/>
        <v>2723.8676780507139</v>
      </c>
      <c r="BF39" s="9">
        <f t="shared" si="58"/>
        <v>365666.73505669023</v>
      </c>
      <c r="BG39" s="9">
        <f t="shared" si="29"/>
        <v>26277.821711862111</v>
      </c>
      <c r="BH39" s="9">
        <f t="shared" si="30"/>
        <v>18510.509329086828</v>
      </c>
      <c r="BI39" s="9">
        <f t="shared" si="31"/>
        <v>2736.9103913641029</v>
      </c>
      <c r="BJ39" s="9">
        <f t="shared" si="59"/>
        <v>364440.24574970989</v>
      </c>
      <c r="BK39" s="9">
        <f t="shared" si="32"/>
        <v>25051.332404881774</v>
      </c>
      <c r="BL39" s="9">
        <f t="shared" si="33"/>
        <v>19515.371180692313</v>
      </c>
      <c r="BM39" s="9">
        <f t="shared" si="34"/>
        <v>3741.7722429695878</v>
      </c>
      <c r="BN39" s="9">
        <f t="shared" si="60"/>
        <v>372435.74953138141</v>
      </c>
      <c r="BO39" s="9">
        <f t="shared" si="35"/>
        <v>33046.836186553293</v>
      </c>
      <c r="BP39" s="9">
        <f t="shared" si="36"/>
        <v>19863.460741328854</v>
      </c>
      <c r="BQ39" s="9">
        <f t="shared" si="37"/>
        <v>4089.8618036061289</v>
      </c>
      <c r="BR39" s="9">
        <f t="shared" si="61"/>
        <v>381883.5792161994</v>
      </c>
      <c r="BS39" s="9">
        <f t="shared" si="38"/>
        <v>42494.665871371282</v>
      </c>
      <c r="BV39" s="373">
        <f t="shared" si="18"/>
        <v>471.98298404457444</v>
      </c>
      <c r="BW39" s="374">
        <f t="shared" si="19"/>
        <v>24071.132186273295</v>
      </c>
      <c r="BX39" s="378">
        <f t="shared" si="39"/>
        <v>0.47830000000000017</v>
      </c>
      <c r="BY39" s="9">
        <f t="shared" si="20"/>
        <v>7174.5000000000027</v>
      </c>
      <c r="BZ39" s="323">
        <f t="shared" si="21"/>
        <v>22174.500000000004</v>
      </c>
      <c r="CA39" s="361"/>
    </row>
    <row r="40" spans="3:79" ht="17" thickBot="1">
      <c r="C40" s="322">
        <f t="shared" si="22"/>
        <v>2039</v>
      </c>
      <c r="D40" s="57">
        <f t="shared" si="23"/>
        <v>84</v>
      </c>
      <c r="E40" s="31">
        <f t="shared" si="40"/>
        <v>23</v>
      </c>
      <c r="F40" s="5">
        <f t="shared" si="75"/>
        <v>24071.132186273295</v>
      </c>
      <c r="G40" s="94">
        <f>IF(ISERROR(VLOOKUP(C40,'TABLES-ACTUAL &amp; FUTURE RATES'!$D$9:$F$80,2,FALSE)),0,VLOOKUP(C40,'TABLES-ACTUAL &amp; FUTURE RATES'!$D$9:$F$80,2,FALSE))</f>
        <v>0.02</v>
      </c>
      <c r="H40" s="5">
        <f t="shared" si="2"/>
        <v>481.42264372546589</v>
      </c>
      <c r="I40" s="5">
        <f t="shared" si="3"/>
        <v>24552.55482999876</v>
      </c>
      <c r="J40" s="317">
        <f t="shared" si="42"/>
        <v>0.89473684210526316</v>
      </c>
      <c r="K40" s="314">
        <f t="shared" si="43"/>
        <v>0.10526315789473684</v>
      </c>
      <c r="L40">
        <f t="shared" si="4"/>
        <v>2039</v>
      </c>
      <c r="M40" s="93">
        <f>IF(ISERROR(VLOOKUP(C40,'TABLES-ACTUAL &amp; FUTURE RATES'!$J$9:$K$80,2,FALSE)),0,VLOOKUP(C40,'TABLES-ACTUAL &amp; FUTURE RATES'!$J$9:$K$80,2,FALSE))</f>
        <v>0</v>
      </c>
      <c r="N40" s="7">
        <f t="shared" si="5"/>
        <v>33.207576710995212</v>
      </c>
      <c r="O40" s="8">
        <f t="shared" si="76"/>
        <v>15806.80651443372</v>
      </c>
      <c r="P40" s="8">
        <f t="shared" si="45"/>
        <v>355195.71985926182</v>
      </c>
      <c r="Q40" s="9">
        <f t="shared" si="6"/>
        <v>-8745.7483155650407</v>
      </c>
      <c r="R40" s="9">
        <f t="shared" si="77"/>
        <v>-102110.87539787471</v>
      </c>
      <c r="T40" s="93">
        <f>IF(ISERROR(VLOOKUP(C40,'TABLES-ACTUAL &amp; FUTURE RATES'!$L$9:$M$80,2,FALSE)),0,VLOOKUP(C40,'TABLES-ACTUAL &amp; FUTURE RATES'!$L$9:$M$80,2,FALSE))</f>
        <v>0</v>
      </c>
      <c r="U40" s="7">
        <f t="shared" si="7"/>
        <v>33.803216439947207</v>
      </c>
      <c r="V40" s="8">
        <f t="shared" si="78"/>
        <v>16090.331025414873</v>
      </c>
      <c r="W40" s="9">
        <f t="shared" si="8"/>
        <v>-8462.2238045838876</v>
      </c>
      <c r="X40" s="9">
        <f t="shared" si="79"/>
        <v>-98488.979785165546</v>
      </c>
      <c r="Z40" s="93">
        <f>IF(ISERROR(VLOOKUP(C40,'TABLES-ACTUAL &amp; FUTURE RATES'!$N$9:$O$80,2,FALSE)),0,VLOOKUP(C40,'TABLES-ACTUAL &amp; FUTURE RATES'!$N$9:$O$80,2,FALSE))</f>
        <v>0.02</v>
      </c>
      <c r="AA40" s="7">
        <f t="shared" si="9"/>
        <v>369.94933231546884</v>
      </c>
      <c r="AB40" s="8">
        <f t="shared" si="80"/>
        <v>18867.415948088907</v>
      </c>
      <c r="AC40" s="9">
        <f t="shared" si="10"/>
        <v>-5685.1388819098538</v>
      </c>
      <c r="AD40" s="9">
        <f t="shared" si="81"/>
        <v>-72772.444252357338</v>
      </c>
      <c r="AF40" s="93">
        <f>IF(ISERROR(VLOOKUP(C40,'TABLES-ACTUAL &amp; FUTURE RATES'!$P$9:$Q$80,2,FALSE)),0,VLOOKUP(C40,'TABLES-ACTUAL &amp; FUTURE RATES'!$P$9:$Q$80,2,FALSE))</f>
        <v>0.01</v>
      </c>
      <c r="AG40" s="7">
        <f t="shared" si="11"/>
        <v>204.58983995306494</v>
      </c>
      <c r="AH40" s="8">
        <f t="shared" si="82"/>
        <v>18715.099169039891</v>
      </c>
      <c r="AI40" s="24">
        <f t="shared" si="12"/>
        <v>-5837.455660958869</v>
      </c>
      <c r="AJ40" s="9">
        <f t="shared" si="83"/>
        <v>-74151.250338386686</v>
      </c>
      <c r="AL40" s="93">
        <f>IF(ISERROR(VLOOKUP(C40,'TABLES-ACTUAL &amp; FUTURE RATES'!$R$9:$S$80,2,FALSE)),0,VLOOKUP(C40,'TABLES-ACTUAL &amp; FUTURE RATES'!$R$9:$S$80,2,FALSE))</f>
        <v>0.01</v>
      </c>
      <c r="AM40" s="7">
        <f t="shared" si="13"/>
        <v>215.69620778659925</v>
      </c>
      <c r="AN40" s="8">
        <f t="shared" si="84"/>
        <v>19731.067388478914</v>
      </c>
      <c r="AO40" s="9">
        <f t="shared" si="14"/>
        <v>-4821.4874415198465</v>
      </c>
      <c r="AP40" s="9">
        <f t="shared" si="85"/>
        <v>-65139.778337276119</v>
      </c>
      <c r="AR40" s="32">
        <f>IF(ISERROR(VLOOKUP(C40,'TABLES-ACTUAL &amp; FUTURE RATES'!$T$9:$V$80,3,FALSE)),0,VLOOKUP(C40,'TABLES-ACTUAL &amp; FUTURE RATES'!$T$9:$V$80,3,FALSE))</f>
        <v>0.5</v>
      </c>
      <c r="AS40" s="93">
        <f>IF(ISERROR(VLOOKUP(C40,'TABLES-ACTUAL &amp; FUTURE RATES'!$T$9:$U$80,2,FALSE)),0,VLOOKUP(C40,'TABLES-ACTUAL &amp; FUTURE RATES'!$T$9:$U$80,2,FALSE))</f>
        <v>0.01</v>
      </c>
      <c r="AT40" s="7">
        <f t="shared" si="15"/>
        <v>219.5435134567926</v>
      </c>
      <c r="AU40" s="8">
        <f t="shared" si="86"/>
        <v>20083.004254785646</v>
      </c>
      <c r="AV40" s="9">
        <f t="shared" si="16"/>
        <v>-4469.5505752131139</v>
      </c>
      <c r="AW40" s="9">
        <f t="shared" si="87"/>
        <v>-55340.011786151466</v>
      </c>
      <c r="AX40" s="259"/>
      <c r="AY40">
        <f t="shared" si="17"/>
        <v>84</v>
      </c>
      <c r="AZ40" s="9">
        <f t="shared" si="24"/>
        <v>16090.331025414873</v>
      </c>
      <c r="BA40" s="9">
        <f t="shared" si="25"/>
        <v>283.52451098115307</v>
      </c>
      <c r="BB40" s="9">
        <f t="shared" si="57"/>
        <v>358817.61547197087</v>
      </c>
      <c r="BC40" s="9">
        <f t="shared" si="26"/>
        <v>3621.8956127090496</v>
      </c>
      <c r="BD40" s="9">
        <f t="shared" si="27"/>
        <v>18867.415948088907</v>
      </c>
      <c r="BE40" s="9">
        <f t="shared" si="28"/>
        <v>3060.6094336551869</v>
      </c>
      <c r="BF40" s="9">
        <f t="shared" si="58"/>
        <v>384534.15100477915</v>
      </c>
      <c r="BG40" s="9">
        <f t="shared" si="29"/>
        <v>29338.43114551733</v>
      </c>
      <c r="BH40" s="9">
        <f t="shared" si="30"/>
        <v>18715.099169039891</v>
      </c>
      <c r="BI40" s="9">
        <f t="shared" si="31"/>
        <v>2908.2926546061717</v>
      </c>
      <c r="BJ40" s="9">
        <f t="shared" si="59"/>
        <v>383155.34491874976</v>
      </c>
      <c r="BK40" s="9">
        <f t="shared" si="32"/>
        <v>27959.625059487938</v>
      </c>
      <c r="BL40" s="9">
        <f t="shared" si="33"/>
        <v>19731.067388478914</v>
      </c>
      <c r="BM40" s="9">
        <f t="shared" si="34"/>
        <v>3924.2608740451942</v>
      </c>
      <c r="BN40" s="9">
        <f t="shared" si="60"/>
        <v>392166.81691986031</v>
      </c>
      <c r="BO40" s="9">
        <f t="shared" si="35"/>
        <v>36971.097060598491</v>
      </c>
      <c r="BP40" s="9">
        <f t="shared" si="36"/>
        <v>20083.004254785646</v>
      </c>
      <c r="BQ40" s="9">
        <f t="shared" si="37"/>
        <v>4276.1977403519268</v>
      </c>
      <c r="BR40" s="9">
        <f t="shared" si="61"/>
        <v>401966.58347098506</v>
      </c>
      <c r="BS40" s="9">
        <f t="shared" si="38"/>
        <v>46770.863611723238</v>
      </c>
      <c r="BV40" s="373">
        <f t="shared" si="18"/>
        <v>481.42264372546589</v>
      </c>
      <c r="BW40" s="374">
        <f t="shared" si="19"/>
        <v>24552.55482999876</v>
      </c>
      <c r="BX40" s="378">
        <f t="shared" si="39"/>
        <v>0.49830000000000019</v>
      </c>
      <c r="BY40" s="9">
        <f t="shared" si="20"/>
        <v>7474.5000000000027</v>
      </c>
      <c r="BZ40" s="323">
        <f t="shared" si="21"/>
        <v>22474.500000000004</v>
      </c>
      <c r="CA40" s="361"/>
    </row>
    <row r="41" spans="3:79" ht="17" thickBot="1">
      <c r="C41" s="322">
        <f t="shared" si="22"/>
        <v>2040</v>
      </c>
      <c r="D41" s="57">
        <f t="shared" si="23"/>
        <v>85</v>
      </c>
      <c r="E41" s="49">
        <f t="shared" si="40"/>
        <v>24</v>
      </c>
      <c r="F41" s="46">
        <f t="shared" si="75"/>
        <v>24552.55482999876</v>
      </c>
      <c r="G41" s="94">
        <f>IF(ISERROR(VLOOKUP(C41,'TABLES-ACTUAL &amp; FUTURE RATES'!$D$9:$F$80,2,FALSE)),0,VLOOKUP(C41,'TABLES-ACTUAL &amp; FUTURE RATES'!$D$9:$F$80,2,FALSE))</f>
        <v>0.02</v>
      </c>
      <c r="H41" s="5">
        <f t="shared" si="2"/>
        <v>491.05109659997521</v>
      </c>
      <c r="I41" s="5">
        <f t="shared" si="3"/>
        <v>25043.605926598735</v>
      </c>
      <c r="J41" s="317">
        <f t="shared" si="42"/>
        <v>0.89473684210526316</v>
      </c>
      <c r="K41" s="314">
        <f t="shared" si="43"/>
        <v>0.10526315789473684</v>
      </c>
      <c r="L41">
        <f t="shared" si="4"/>
        <v>2040</v>
      </c>
      <c r="M41" s="93">
        <f>IF(ISERROR(VLOOKUP(C41,'TABLES-ACTUAL &amp; FUTURE RATES'!$J$9:$K$80,2,FALSE)),0,VLOOKUP(C41,'TABLES-ACTUAL &amp; FUTURE RATES'!$J$9:$K$80,2,FALSE))</f>
        <v>0</v>
      </c>
      <c r="N41" s="7">
        <f t="shared" si="5"/>
        <v>33.277487398807828</v>
      </c>
      <c r="O41" s="47">
        <f t="shared" si="76"/>
        <v>15840.084001832527</v>
      </c>
      <c r="P41" s="8">
        <f t="shared" si="45"/>
        <v>371035.80386109435</v>
      </c>
      <c r="Q41" s="9">
        <f t="shared" si="6"/>
        <v>-9203.521924766208</v>
      </c>
      <c r="R41" s="48">
        <f t="shared" si="77"/>
        <v>-111314.39732264091</v>
      </c>
      <c r="T41" s="93">
        <f>IF(ISERROR(VLOOKUP(C41,'TABLES-ACTUAL &amp; FUTURE RATES'!$L$9:$M$80,2,FALSE)),0,VLOOKUP(C41,'TABLES-ACTUAL &amp; FUTURE RATES'!$L$9:$M$80,2,FALSE))</f>
        <v>0</v>
      </c>
      <c r="U41" s="7">
        <f t="shared" si="7"/>
        <v>33.874381106136568</v>
      </c>
      <c r="V41" s="47">
        <f t="shared" si="78"/>
        <v>16124.205406521009</v>
      </c>
      <c r="W41" s="9">
        <f t="shared" si="8"/>
        <v>-8919.4005200777265</v>
      </c>
      <c r="X41" s="48">
        <f t="shared" si="79"/>
        <v>-107408.38030524328</v>
      </c>
      <c r="Z41" s="93">
        <f>IF(ISERROR(VLOOKUP(C41,'TABLES-ACTUAL &amp; FUTURE RATES'!$N$9:$O$80,2,FALSE)),0,VLOOKUP(C41,'TABLES-ACTUAL &amp; FUTURE RATES'!$N$9:$O$80,2,FALSE))</f>
        <v>0</v>
      </c>
      <c r="AA41" s="7">
        <f t="shared" si="9"/>
        <v>39.72087568018717</v>
      </c>
      <c r="AB41" s="47">
        <f t="shared" si="80"/>
        <v>18907.136823769095</v>
      </c>
      <c r="AC41" s="9">
        <f t="shared" si="10"/>
        <v>-6136.4691028296402</v>
      </c>
      <c r="AD41" s="48">
        <f t="shared" si="81"/>
        <v>-78908.913355186975</v>
      </c>
      <c r="AF41" s="93">
        <f>IF(ISERROR(VLOOKUP(C41,'TABLES-ACTUAL &amp; FUTURE RATES'!$P$9:$Q$80,2,FALSE)),0,VLOOKUP(C41,'TABLES-ACTUAL &amp; FUTURE RATES'!$P$9:$Q$80,2,FALSE))</f>
        <v>0.01</v>
      </c>
      <c r="AG41" s="7">
        <f t="shared" si="11"/>
        <v>206.85109607886196</v>
      </c>
      <c r="AH41" s="47">
        <f t="shared" si="82"/>
        <v>18921.950265118754</v>
      </c>
      <c r="AI41" s="24">
        <f t="shared" si="12"/>
        <v>-6121.6556614799811</v>
      </c>
      <c r="AJ41" s="48">
        <f t="shared" si="83"/>
        <v>-80272.905999866663</v>
      </c>
      <c r="AL41" s="93">
        <f>IF(ISERROR(VLOOKUP(C41,'TABLES-ACTUAL &amp; FUTURE RATES'!$R$9:$S$80,2,FALSE)),0,VLOOKUP(C41,'TABLES-ACTUAL &amp; FUTURE RATES'!$R$9:$S$80,2,FALSE))</f>
        <v>0.01</v>
      </c>
      <c r="AM41" s="7">
        <f t="shared" si="13"/>
        <v>218.08021850424063</v>
      </c>
      <c r="AN41" s="47">
        <f t="shared" si="84"/>
        <v>19949.147606983155</v>
      </c>
      <c r="AO41" s="9">
        <f t="shared" si="14"/>
        <v>-5094.45831961558</v>
      </c>
      <c r="AP41" s="48">
        <f t="shared" si="85"/>
        <v>-70234.236656891706</v>
      </c>
      <c r="AR41" s="32">
        <f>IF(ISERROR(VLOOKUP(C41,'TABLES-ACTUAL &amp; FUTURE RATES'!$T$9:$V$80,3,FALSE)),0,VLOOKUP(C41,'TABLES-ACTUAL &amp; FUTURE RATES'!$T$9:$V$80,3,FALSE))</f>
        <v>0.5</v>
      </c>
      <c r="AS41" s="93">
        <f>IF(ISERROR(VLOOKUP(C41,'TABLES-ACTUAL &amp; FUTURE RATES'!$T$9:$U$80,2,FALSE)),0,VLOOKUP(C41,'TABLES-ACTUAL &amp; FUTURE RATES'!$T$9:$U$80,2,FALSE))</f>
        <v>0.01</v>
      </c>
      <c r="AT41" s="7">
        <f t="shared" si="15"/>
        <v>221.97004702657819</v>
      </c>
      <c r="AU41" s="47">
        <f t="shared" si="86"/>
        <v>20304.974301812224</v>
      </c>
      <c r="AV41" s="9">
        <f t="shared" si="16"/>
        <v>-4738.6316247865107</v>
      </c>
      <c r="AW41" s="48">
        <f t="shared" si="87"/>
        <v>-60078.643410937977</v>
      </c>
      <c r="AX41" s="259"/>
      <c r="AY41">
        <f t="shared" si="17"/>
        <v>85</v>
      </c>
      <c r="AZ41" s="9">
        <f t="shared" si="24"/>
        <v>16124.205406521009</v>
      </c>
      <c r="BA41" s="9">
        <f t="shared" si="25"/>
        <v>284.12140468848156</v>
      </c>
      <c r="BB41" s="9">
        <f t="shared" si="57"/>
        <v>374941.82087849185</v>
      </c>
      <c r="BC41" s="9">
        <f t="shared" si="26"/>
        <v>3906.0170173975057</v>
      </c>
      <c r="BD41" s="9">
        <f t="shared" si="27"/>
        <v>18907.136823769095</v>
      </c>
      <c r="BE41" s="9">
        <f t="shared" si="28"/>
        <v>3067.0528219365679</v>
      </c>
      <c r="BF41" s="9">
        <f t="shared" si="58"/>
        <v>403441.28782854823</v>
      </c>
      <c r="BG41" s="9">
        <f t="shared" si="29"/>
        <v>32405.483967453882</v>
      </c>
      <c r="BH41" s="9">
        <f t="shared" si="30"/>
        <v>18921.950265118754</v>
      </c>
      <c r="BI41" s="9">
        <f t="shared" si="31"/>
        <v>3081.866263286227</v>
      </c>
      <c r="BJ41" s="9">
        <f t="shared" si="59"/>
        <v>402077.2951838685</v>
      </c>
      <c r="BK41" s="9">
        <f t="shared" si="32"/>
        <v>31041.491322774149</v>
      </c>
      <c r="BL41" s="9">
        <f t="shared" si="33"/>
        <v>19949.147606983155</v>
      </c>
      <c r="BM41" s="9">
        <f t="shared" si="34"/>
        <v>4109.0636051506281</v>
      </c>
      <c r="BN41" s="9">
        <f t="shared" si="60"/>
        <v>412115.96452684345</v>
      </c>
      <c r="BO41" s="9">
        <f t="shared" si="35"/>
        <v>41080.160665749107</v>
      </c>
      <c r="BP41" s="9">
        <f t="shared" si="36"/>
        <v>20304.974301812224</v>
      </c>
      <c r="BQ41" s="9">
        <f t="shared" si="37"/>
        <v>4464.8902999796974</v>
      </c>
      <c r="BR41" s="9">
        <f t="shared" si="61"/>
        <v>422271.5577727973</v>
      </c>
      <c r="BS41" s="9">
        <f t="shared" si="38"/>
        <v>51235.753911702952</v>
      </c>
      <c r="BV41" s="373">
        <f t="shared" si="18"/>
        <v>491.05109659997521</v>
      </c>
      <c r="BW41" s="374">
        <f t="shared" si="19"/>
        <v>25043.605926598735</v>
      </c>
      <c r="BX41" s="378">
        <f t="shared" si="39"/>
        <v>0.5183000000000002</v>
      </c>
      <c r="BY41" s="9">
        <f t="shared" si="20"/>
        <v>7774.5000000000027</v>
      </c>
      <c r="BZ41" s="323">
        <f t="shared" si="21"/>
        <v>22774.500000000004</v>
      </c>
      <c r="CA41" s="361"/>
    </row>
    <row r="42" spans="3:79" ht="17" thickBot="1">
      <c r="C42" s="322">
        <f t="shared" si="22"/>
        <v>2041</v>
      </c>
      <c r="D42" s="57">
        <f t="shared" si="23"/>
        <v>86</v>
      </c>
      <c r="E42" s="62">
        <f t="shared" si="40"/>
        <v>25</v>
      </c>
      <c r="F42" s="50">
        <f t="shared" si="75"/>
        <v>25043.605926598735</v>
      </c>
      <c r="G42" s="94">
        <f>IF(ISERROR(VLOOKUP(C42,'TABLES-ACTUAL &amp; FUTURE RATES'!$D$9:$F$80,2,FALSE)),0,VLOOKUP(C42,'TABLES-ACTUAL &amp; FUTURE RATES'!$D$9:$F$80,2,FALSE))</f>
        <v>0.02</v>
      </c>
      <c r="H42" s="5">
        <f t="shared" si="2"/>
        <v>500.87211853197471</v>
      </c>
      <c r="I42" s="5">
        <f t="shared" si="3"/>
        <v>25544.478045130709</v>
      </c>
      <c r="J42" s="317">
        <f t="shared" si="42"/>
        <v>0.89473684210526316</v>
      </c>
      <c r="K42" s="314">
        <f t="shared" si="43"/>
        <v>0.10526315789473684</v>
      </c>
      <c r="L42">
        <f t="shared" si="4"/>
        <v>2041</v>
      </c>
      <c r="M42" s="93">
        <f>IF(ISERROR(VLOOKUP(C42,'TABLES-ACTUAL &amp; FUTURE RATES'!$J$9:$K$80,2,FALSE)),0,VLOOKUP(C42,'TABLES-ACTUAL &amp; FUTURE RATES'!$J$9:$K$80,2,FALSE))</f>
        <v>0</v>
      </c>
      <c r="N42" s="7">
        <f t="shared" si="5"/>
        <v>33.347545267015846</v>
      </c>
      <c r="O42" s="52">
        <f t="shared" si="76"/>
        <v>15873.431547099543</v>
      </c>
      <c r="P42" s="8">
        <f t="shared" si="45"/>
        <v>386909.2354081939</v>
      </c>
      <c r="Q42" s="9">
        <f t="shared" si="6"/>
        <v>-9671.0464980311663</v>
      </c>
      <c r="R42" s="53">
        <f t="shared" si="77"/>
        <v>-120985.44382067208</v>
      </c>
      <c r="S42" s="51"/>
      <c r="T42" s="93">
        <f>IF(ISERROR(VLOOKUP(C42,'TABLES-ACTUAL &amp; FUTURE RATES'!$L$9:$M$80,2,FALSE)),0,VLOOKUP(C42,'TABLES-ACTUAL &amp; FUTURE RATES'!$L$9:$M$80,2,FALSE))</f>
        <v>0</v>
      </c>
      <c r="U42" s="7">
        <f t="shared" si="7"/>
        <v>33.945695592675804</v>
      </c>
      <c r="V42" s="52">
        <f t="shared" si="78"/>
        <v>16158.151102113685</v>
      </c>
      <c r="W42" s="9">
        <f t="shared" si="8"/>
        <v>-9386.326943017024</v>
      </c>
      <c r="X42" s="53">
        <f t="shared" si="79"/>
        <v>-116794.7072482603</v>
      </c>
      <c r="Y42" s="51"/>
      <c r="Z42" s="93">
        <f>IF(ISERROR(VLOOKUP(C42,'TABLES-ACTUAL &amp; FUTURE RATES'!$N$9:$O$80,2,FALSE)),0,VLOOKUP(C42,'TABLES-ACTUAL &amp; FUTURE RATES'!$N$9:$O$80,2,FALSE))</f>
        <v>0.02</v>
      </c>
      <c r="AA42" s="7">
        <f t="shared" si="9"/>
        <v>378.14273647538187</v>
      </c>
      <c r="AB42" s="52">
        <f t="shared" si="80"/>
        <v>19285.279560244478</v>
      </c>
      <c r="AC42" s="9">
        <f t="shared" si="10"/>
        <v>-6259.1984848862303</v>
      </c>
      <c r="AD42" s="53">
        <f t="shared" si="81"/>
        <v>-85168.111840073208</v>
      </c>
      <c r="AE42" s="51"/>
      <c r="AF42" s="93">
        <f>IF(ISERROR(VLOOKUP(C42,'TABLES-ACTUAL &amp; FUTURE RATES'!$P$9:$Q$80,2,FALSE)),0,VLOOKUP(C42,'TABLES-ACTUAL &amp; FUTURE RATES'!$P$9:$Q$80,2,FALSE))</f>
        <v>0.01</v>
      </c>
      <c r="AG42" s="7">
        <f t="shared" si="11"/>
        <v>209.13734503552308</v>
      </c>
      <c r="AH42" s="52">
        <f t="shared" si="82"/>
        <v>19131.087610154278</v>
      </c>
      <c r="AI42" s="24">
        <f t="shared" si="12"/>
        <v>-6413.3904349764307</v>
      </c>
      <c r="AJ42" s="53">
        <f t="shared" si="83"/>
        <v>-86686.296434843098</v>
      </c>
      <c r="AK42" s="51"/>
      <c r="AL42" s="93">
        <f>IF(ISERROR(VLOOKUP(C42,'TABLES-ACTUAL &amp; FUTURE RATES'!$R$9:$S$80,2,FALSE)),0,VLOOKUP(C42,'TABLES-ACTUAL &amp; FUTURE RATES'!$R$9:$S$80,2,FALSE))</f>
        <v>0.02</v>
      </c>
      <c r="AM42" s="7">
        <f t="shared" si="13"/>
        <v>398.9829521396631</v>
      </c>
      <c r="AN42" s="52">
        <f t="shared" si="84"/>
        <v>20348.130559122819</v>
      </c>
      <c r="AO42" s="9">
        <f t="shared" si="14"/>
        <v>-5196.3474860078895</v>
      </c>
      <c r="AP42" s="53">
        <f t="shared" si="85"/>
        <v>-75430.584142899592</v>
      </c>
      <c r="AQ42" s="51"/>
      <c r="AR42" s="32">
        <f>IF(ISERROR(VLOOKUP(C42,'TABLES-ACTUAL &amp; FUTURE RATES'!$T$9:$V$80,3,FALSE)),0,VLOOKUP(C42,'TABLES-ACTUAL &amp; FUTURE RATES'!$T$9:$V$80,3,FALSE))</f>
        <v>0.5</v>
      </c>
      <c r="AS42" s="93">
        <f>IF(ISERROR(VLOOKUP(C42,'TABLES-ACTUAL &amp; FUTURE RATES'!$T$9:$U$80,2,FALSE)),0,VLOOKUP(C42,'TABLES-ACTUAL &amp; FUTURE RATES'!$T$9:$U$80,2,FALSE))</f>
        <v>0.01</v>
      </c>
      <c r="AT42" s="7">
        <f t="shared" si="15"/>
        <v>224.42340017792458</v>
      </c>
      <c r="AU42" s="52">
        <f t="shared" si="86"/>
        <v>20529.39770199015</v>
      </c>
      <c r="AV42" s="9">
        <f t="shared" si="16"/>
        <v>-5015.0803431405584</v>
      </c>
      <c r="AW42" s="54">
        <f t="shared" si="87"/>
        <v>-65093.723754078535</v>
      </c>
      <c r="AX42" s="259"/>
      <c r="AY42">
        <f t="shared" si="17"/>
        <v>86</v>
      </c>
      <c r="AZ42" s="9">
        <f t="shared" si="24"/>
        <v>16158.151102113685</v>
      </c>
      <c r="BA42" s="9">
        <f t="shared" si="25"/>
        <v>284.71955501414232</v>
      </c>
      <c r="BB42" s="9">
        <f t="shared" si="57"/>
        <v>391099.97198060557</v>
      </c>
      <c r="BC42" s="9">
        <f t="shared" si="26"/>
        <v>4190.736572411668</v>
      </c>
      <c r="BD42" s="9">
        <f t="shared" si="27"/>
        <v>19285.279560244478</v>
      </c>
      <c r="BE42" s="9">
        <f t="shared" si="28"/>
        <v>3411.848013144936</v>
      </c>
      <c r="BF42" s="9">
        <f t="shared" si="58"/>
        <v>422726.5673887927</v>
      </c>
      <c r="BG42" s="9">
        <f t="shared" si="29"/>
        <v>35817.331980598799</v>
      </c>
      <c r="BH42" s="9">
        <f t="shared" si="30"/>
        <v>19131.087610154278</v>
      </c>
      <c r="BI42" s="9">
        <f t="shared" si="31"/>
        <v>3257.6560630547356</v>
      </c>
      <c r="BJ42" s="9">
        <f t="shared" si="59"/>
        <v>421208.38279402279</v>
      </c>
      <c r="BK42" s="9">
        <f t="shared" si="32"/>
        <v>34299.147385828895</v>
      </c>
      <c r="BL42" s="9">
        <f t="shared" si="33"/>
        <v>20348.130559122819</v>
      </c>
      <c r="BM42" s="9">
        <f t="shared" si="34"/>
        <v>4474.6990120232767</v>
      </c>
      <c r="BN42" s="9">
        <f t="shared" si="60"/>
        <v>432464.09508596628</v>
      </c>
      <c r="BO42" s="9">
        <f t="shared" si="35"/>
        <v>45554.859677772387</v>
      </c>
      <c r="BP42" s="9">
        <f t="shared" si="36"/>
        <v>20529.39770199015</v>
      </c>
      <c r="BQ42" s="9">
        <f t="shared" si="37"/>
        <v>4655.9661548906079</v>
      </c>
      <c r="BR42" s="9">
        <f t="shared" si="61"/>
        <v>442800.95547478745</v>
      </c>
      <c r="BS42" s="9">
        <f t="shared" si="38"/>
        <v>55891.720066593552</v>
      </c>
      <c r="BV42" s="373">
        <f t="shared" si="18"/>
        <v>500.87211853197471</v>
      </c>
      <c r="BW42" s="374">
        <f t="shared" si="19"/>
        <v>25544.478045130709</v>
      </c>
      <c r="BX42" s="378">
        <f t="shared" si="39"/>
        <v>0.53830000000000022</v>
      </c>
      <c r="BY42" s="9">
        <f t="shared" si="20"/>
        <v>8074.5000000000036</v>
      </c>
      <c r="BZ42" s="323">
        <f t="shared" si="21"/>
        <v>23074.500000000004</v>
      </c>
      <c r="CA42" s="361"/>
    </row>
    <row r="43" spans="3:79" ht="17" thickBot="1">
      <c r="C43" s="322">
        <f t="shared" si="22"/>
        <v>2042</v>
      </c>
      <c r="D43" s="57">
        <f t="shared" si="23"/>
        <v>87</v>
      </c>
      <c r="E43" s="63">
        <f t="shared" si="40"/>
        <v>26</v>
      </c>
      <c r="F43" s="10">
        <f t="shared" si="75"/>
        <v>25544.478045130709</v>
      </c>
      <c r="G43" s="94">
        <f>IF(ISERROR(VLOOKUP(C43,'TABLES-ACTUAL &amp; FUTURE RATES'!$D$9:$F$80,2,FALSE)),0,VLOOKUP(C43,'TABLES-ACTUAL &amp; FUTURE RATES'!$D$9:$F$80,2,FALSE))</f>
        <v>0.02</v>
      </c>
      <c r="H43" s="5">
        <f t="shared" si="2"/>
        <v>510.88956090261416</v>
      </c>
      <c r="I43" s="5">
        <f t="shared" si="3"/>
        <v>26055.367606033324</v>
      </c>
      <c r="J43" s="317">
        <f t="shared" si="42"/>
        <v>0.89473684210526316</v>
      </c>
      <c r="K43" s="314">
        <f t="shared" si="43"/>
        <v>0.10526315789473684</v>
      </c>
      <c r="L43">
        <f t="shared" si="4"/>
        <v>2042</v>
      </c>
      <c r="M43" s="93">
        <f>IF(ISERROR(VLOOKUP(C43,'TABLES-ACTUAL &amp; FUTURE RATES'!$J$9:$K$80,2,FALSE)),0,VLOOKUP(C43,'TABLES-ACTUAL &amp; FUTURE RATES'!$J$9:$K$80,2,FALSE))</f>
        <v>0</v>
      </c>
      <c r="N43" s="7">
        <f t="shared" si="5"/>
        <v>33.417750625472721</v>
      </c>
      <c r="O43" s="23">
        <f t="shared" si="76"/>
        <v>15906.849297725015</v>
      </c>
      <c r="P43" s="8">
        <f t="shared" si="45"/>
        <v>402816.08470591891</v>
      </c>
      <c r="Q43" s="9">
        <f t="shared" si="6"/>
        <v>-10148.518308308308</v>
      </c>
      <c r="R43" s="24">
        <f t="shared" si="77"/>
        <v>-131133.96212898038</v>
      </c>
      <c r="T43" s="93">
        <f>IF(ISERROR(VLOOKUP(C43,'TABLES-ACTUAL &amp; FUTURE RATES'!$L$9:$M$80,2,FALSE)),0,VLOOKUP(C43,'TABLES-ACTUAL &amp; FUTURE RATES'!$L$9:$M$80,2,FALSE))</f>
        <v>0</v>
      </c>
      <c r="U43" s="7">
        <f t="shared" si="7"/>
        <v>34.017160214976172</v>
      </c>
      <c r="V43" s="23">
        <f t="shared" si="78"/>
        <v>16192.168262328662</v>
      </c>
      <c r="W43" s="9">
        <f t="shared" si="8"/>
        <v>-9863.1993437046622</v>
      </c>
      <c r="X43" s="24">
        <f t="shared" si="79"/>
        <v>-126657.90659196496</v>
      </c>
      <c r="Z43" s="93">
        <f>IF(ISERROR(VLOOKUP(C43,'TABLES-ACTUAL &amp; FUTURE RATES'!$N$9:$O$80,2,FALSE)),0,VLOOKUP(C43,'TABLES-ACTUAL &amp; FUTURE RATES'!$N$9:$O$80,2,FALSE))</f>
        <v>0</v>
      </c>
      <c r="AA43" s="7">
        <f t="shared" si="9"/>
        <v>40.600588547883113</v>
      </c>
      <c r="AB43" s="23">
        <f t="shared" si="80"/>
        <v>19325.880148792363</v>
      </c>
      <c r="AC43" s="9">
        <f t="shared" si="10"/>
        <v>-6729.4874572409608</v>
      </c>
      <c r="AD43" s="24">
        <f t="shared" si="81"/>
        <v>-91897.599297314169</v>
      </c>
      <c r="AF43" s="93">
        <f>IF(ISERROR(VLOOKUP(C43,'TABLES-ACTUAL &amp; FUTURE RATES'!$P$9:$Q$80,2,FALSE)),0,VLOOKUP(C43,'TABLES-ACTUAL &amp; FUTURE RATES'!$P$9:$Q$80,2,FALSE))</f>
        <v>0.01</v>
      </c>
      <c r="AG43" s="7">
        <f t="shared" si="11"/>
        <v>211.44886305959994</v>
      </c>
      <c r="AH43" s="23">
        <f t="shared" si="82"/>
        <v>19342.536473213877</v>
      </c>
      <c r="AI43" s="24">
        <f t="shared" si="12"/>
        <v>-6712.8311328194468</v>
      </c>
      <c r="AJ43" s="24">
        <f t="shared" si="83"/>
        <v>-93399.127567662537</v>
      </c>
      <c r="AL43" s="93">
        <f>IF(ISERROR(VLOOKUP(C43,'TABLES-ACTUAL &amp; FUTURE RATES'!$R$9:$S$80,2,FALSE)),0,VLOOKUP(C43,'TABLES-ACTUAL &amp; FUTURE RATES'!$R$9:$S$80,2,FALSE))</f>
        <v>0.01</v>
      </c>
      <c r="AM43" s="7">
        <f t="shared" si="13"/>
        <v>224.90039039030484</v>
      </c>
      <c r="AN43" s="23">
        <f t="shared" si="84"/>
        <v>20573.030949513122</v>
      </c>
      <c r="AO43" s="9">
        <f t="shared" si="14"/>
        <v>-5482.3366565202014</v>
      </c>
      <c r="AP43" s="24">
        <f t="shared" si="85"/>
        <v>-80912.920799419793</v>
      </c>
      <c r="AR43" s="32">
        <f>IF(ISERROR(VLOOKUP(C43,'TABLES-ACTUAL &amp; FUTURE RATES'!$T$9:$V$80,3,FALSE)),0,VLOOKUP(C43,'TABLES-ACTUAL &amp; FUTURE RATES'!$T$9:$V$80,3,FALSE))</f>
        <v>0.5</v>
      </c>
      <c r="AS43" s="93">
        <f>IF(ISERROR(VLOOKUP(C43,'TABLES-ACTUAL &amp; FUTURE RATES'!$T$9:$U$80,2,FALSE)),0,VLOOKUP(C43,'TABLES-ACTUAL &amp; FUTURE RATES'!$T$9:$U$80,2,FALSE))</f>
        <v>0.01</v>
      </c>
      <c r="AT43" s="7">
        <f t="shared" si="15"/>
        <v>226.90386933778589</v>
      </c>
      <c r="AU43" s="23">
        <f t="shared" si="86"/>
        <v>20756.301571327935</v>
      </c>
      <c r="AV43" s="9">
        <f t="shared" si="16"/>
        <v>-5299.066034705389</v>
      </c>
      <c r="AW43" s="24">
        <f t="shared" si="87"/>
        <v>-70392.789788783921</v>
      </c>
      <c r="AX43" s="259"/>
      <c r="AY43">
        <f t="shared" si="17"/>
        <v>87</v>
      </c>
      <c r="AZ43" s="9">
        <f t="shared" si="24"/>
        <v>16192.168262328662</v>
      </c>
      <c r="BA43" s="9">
        <f t="shared" si="25"/>
        <v>285.31896460364624</v>
      </c>
      <c r="BB43" s="9">
        <f t="shared" si="57"/>
        <v>407292.14024293423</v>
      </c>
      <c r="BC43" s="9">
        <f t="shared" si="26"/>
        <v>4476.0555370153161</v>
      </c>
      <c r="BD43" s="9">
        <f t="shared" si="27"/>
        <v>19325.880148792363</v>
      </c>
      <c r="BE43" s="9">
        <f t="shared" si="28"/>
        <v>3419.0308510673476</v>
      </c>
      <c r="BF43" s="9">
        <f t="shared" si="58"/>
        <v>442052.44753758505</v>
      </c>
      <c r="BG43" s="9">
        <f t="shared" si="29"/>
        <v>39236.362831666134</v>
      </c>
      <c r="BH43" s="9">
        <f t="shared" si="30"/>
        <v>19342.536473213877</v>
      </c>
      <c r="BI43" s="9">
        <f t="shared" si="31"/>
        <v>3435.6871754888616</v>
      </c>
      <c r="BJ43" s="9">
        <f t="shared" si="59"/>
        <v>440550.91926723666</v>
      </c>
      <c r="BK43" s="9">
        <f t="shared" si="32"/>
        <v>37734.834561317752</v>
      </c>
      <c r="BL43" s="9">
        <f t="shared" si="33"/>
        <v>20573.030949513122</v>
      </c>
      <c r="BM43" s="9">
        <f t="shared" si="34"/>
        <v>4666.181651788107</v>
      </c>
      <c r="BN43" s="9">
        <f t="shared" si="60"/>
        <v>453037.12603547942</v>
      </c>
      <c r="BO43" s="9">
        <f t="shared" si="35"/>
        <v>50221.04132956051</v>
      </c>
      <c r="BP43" s="9">
        <f t="shared" si="36"/>
        <v>20756.301571327935</v>
      </c>
      <c r="BQ43" s="9">
        <f t="shared" si="37"/>
        <v>4849.4522736029194</v>
      </c>
      <c r="BR43" s="9">
        <f t="shared" si="61"/>
        <v>463557.25704611541</v>
      </c>
      <c r="BS43" s="9">
        <f t="shared" si="38"/>
        <v>60741.172340196499</v>
      </c>
      <c r="BV43" s="373">
        <f t="shared" si="18"/>
        <v>510.88956090261416</v>
      </c>
      <c r="BW43" s="374">
        <f t="shared" si="19"/>
        <v>26055.367606033324</v>
      </c>
      <c r="BX43" s="378">
        <f t="shared" si="39"/>
        <v>0.55830000000000024</v>
      </c>
      <c r="BY43" s="9">
        <f t="shared" si="20"/>
        <v>8374.5000000000036</v>
      </c>
      <c r="BZ43" s="323">
        <f t="shared" si="21"/>
        <v>23374.500000000004</v>
      </c>
      <c r="CA43" s="361"/>
    </row>
    <row r="44" spans="3:79" ht="17" thickBot="1">
      <c r="C44" s="322">
        <f t="shared" si="22"/>
        <v>2043</v>
      </c>
      <c r="D44" s="57">
        <f t="shared" si="23"/>
        <v>88</v>
      </c>
      <c r="E44" s="31">
        <f t="shared" si="40"/>
        <v>27</v>
      </c>
      <c r="F44" s="5">
        <f t="shared" si="75"/>
        <v>26055.367606033324</v>
      </c>
      <c r="G44" s="94">
        <f>IF(ISERROR(VLOOKUP(C44,'TABLES-ACTUAL &amp; FUTURE RATES'!$D$9:$F$80,2,FALSE)),0,VLOOKUP(C44,'TABLES-ACTUAL &amp; FUTURE RATES'!$D$9:$F$80,2,FALSE))</f>
        <v>0.02</v>
      </c>
      <c r="H44" s="5">
        <f t="shared" si="2"/>
        <v>521.10735212066652</v>
      </c>
      <c r="I44" s="5">
        <f t="shared" si="3"/>
        <v>26576.474958153991</v>
      </c>
      <c r="J44" s="317">
        <f t="shared" si="42"/>
        <v>0.89473684210526316</v>
      </c>
      <c r="K44" s="314">
        <f t="shared" si="43"/>
        <v>0.10526315789473684</v>
      </c>
      <c r="L44">
        <f t="shared" si="4"/>
        <v>2043</v>
      </c>
      <c r="M44" s="93">
        <f>IF(ISERROR(VLOOKUP(C44,'TABLES-ACTUAL &amp; FUTURE RATES'!$J$9:$K$80,2,FALSE)),0,VLOOKUP(C44,'TABLES-ACTUAL &amp; FUTURE RATES'!$J$9:$K$80,2,FALSE))</f>
        <v>0</v>
      </c>
      <c r="N44" s="7">
        <f t="shared" si="5"/>
        <v>33.488103784684242</v>
      </c>
      <c r="O44" s="8">
        <f t="shared" si="76"/>
        <v>15940.3374015097</v>
      </c>
      <c r="P44" s="8">
        <f t="shared" si="45"/>
        <v>418756.4221074286</v>
      </c>
      <c r="Q44" s="9">
        <f t="shared" si="6"/>
        <v>-10636.137556644291</v>
      </c>
      <c r="R44" s="9">
        <f t="shared" si="77"/>
        <v>-141770.09968562468</v>
      </c>
      <c r="T44" s="93">
        <f>IF(ISERROR(VLOOKUP(C44,'TABLES-ACTUAL &amp; FUTURE RATES'!$L$9:$M$80,2,FALSE)),0,VLOOKUP(C44,'TABLES-ACTUAL &amp; FUTURE RATES'!$L$9:$M$80,2,FALSE))</f>
        <v>0</v>
      </c>
      <c r="U44" s="7">
        <f t="shared" si="7"/>
        <v>34.088775289112967</v>
      </c>
      <c r="V44" s="8">
        <f t="shared" si="78"/>
        <v>16226.257037617774</v>
      </c>
      <c r="W44" s="9">
        <f t="shared" si="8"/>
        <v>-10350.217920536217</v>
      </c>
      <c r="X44" s="9">
        <f t="shared" si="79"/>
        <v>-137008.12451250118</v>
      </c>
      <c r="Z44" s="93">
        <f>IF(ISERROR(VLOOKUP(C44,'TABLES-ACTUAL &amp; FUTURE RATES'!$N$9:$O$80,2,FALSE)),0,VLOOKUP(C44,'TABLES-ACTUAL &amp; FUTURE RATES'!$N$9:$O$80,2,FALSE))</f>
        <v>0.02</v>
      </c>
      <c r="AA44" s="7">
        <f t="shared" si="9"/>
        <v>386.5176029758473</v>
      </c>
      <c r="AB44" s="8">
        <f t="shared" si="80"/>
        <v>19712.397751768211</v>
      </c>
      <c r="AC44" s="9">
        <f t="shared" si="10"/>
        <v>-6864.0772063857803</v>
      </c>
      <c r="AD44" s="9">
        <f t="shared" si="81"/>
        <v>-98761.676503699942</v>
      </c>
      <c r="AF44" s="93">
        <f>IF(ISERROR(VLOOKUP(C44,'TABLES-ACTUAL &amp; FUTURE RATES'!$P$9:$Q$80,2,FALSE)),0,VLOOKUP(C44,'TABLES-ACTUAL &amp; FUTURE RATES'!$P$9:$Q$80,2,FALSE))</f>
        <v>0.01</v>
      </c>
      <c r="AG44" s="7">
        <f t="shared" si="11"/>
        <v>213.78592944078494</v>
      </c>
      <c r="AH44" s="8">
        <f t="shared" si="82"/>
        <v>19556.322402654663</v>
      </c>
      <c r="AI44" s="24">
        <f t="shared" si="12"/>
        <v>-7020.1525554993277</v>
      </c>
      <c r="AJ44" s="9">
        <f t="shared" si="83"/>
        <v>-100419.28012316187</v>
      </c>
      <c r="AL44" s="93">
        <f>IF(ISERROR(VLOOKUP(C44,'TABLES-ACTUAL &amp; FUTURE RATES'!$R$9:$S$80,2,FALSE)),0,VLOOKUP(C44,'TABLES-ACTUAL &amp; FUTURE RATES'!$R$9:$S$80,2,FALSE))</f>
        <v>0.01</v>
      </c>
      <c r="AM44" s="7">
        <f t="shared" si="13"/>
        <v>227.3861315472503</v>
      </c>
      <c r="AN44" s="8">
        <f t="shared" si="84"/>
        <v>20800.417081060372</v>
      </c>
      <c r="AO44" s="9">
        <f t="shared" si="14"/>
        <v>-5776.057877093619</v>
      </c>
      <c r="AP44" s="9">
        <f t="shared" si="85"/>
        <v>-86688.978676513419</v>
      </c>
      <c r="AR44" s="32">
        <f>IF(ISERROR(VLOOKUP(C44,'TABLES-ACTUAL &amp; FUTURE RATES'!$T$9:$V$80,3,FALSE)),0,VLOOKUP(C44,'TABLES-ACTUAL &amp; FUTURE RATES'!$T$9:$V$80,3,FALSE))</f>
        <v>0.5</v>
      </c>
      <c r="AS44" s="93">
        <f>IF(ISERROR(VLOOKUP(C44,'TABLES-ACTUAL &amp; FUTURE RATES'!$T$9:$U$80,2,FALSE)),0,VLOOKUP(C44,'TABLES-ACTUAL &amp; FUTURE RATES'!$T$9:$U$80,2,FALSE))</f>
        <v>0.01</v>
      </c>
      <c r="AT44" s="7">
        <f t="shared" si="15"/>
        <v>229.41175420941397</v>
      </c>
      <c r="AU44" s="8">
        <f t="shared" si="86"/>
        <v>20985.713325537348</v>
      </c>
      <c r="AV44" s="9">
        <f t="shared" si="16"/>
        <v>-5590.7616326166426</v>
      </c>
      <c r="AW44" s="9">
        <f t="shared" si="87"/>
        <v>-75983.551421400567</v>
      </c>
      <c r="AX44" s="259"/>
      <c r="AY44">
        <f t="shared" si="17"/>
        <v>88</v>
      </c>
      <c r="AZ44" s="9">
        <f t="shared" si="24"/>
        <v>16226.257037617774</v>
      </c>
      <c r="BA44" s="9">
        <f t="shared" si="25"/>
        <v>285.91963610807397</v>
      </c>
      <c r="BB44" s="9">
        <f t="shared" si="57"/>
        <v>423518.39728055202</v>
      </c>
      <c r="BC44" s="9">
        <f t="shared" si="26"/>
        <v>4761.9751731234137</v>
      </c>
      <c r="BD44" s="9">
        <f t="shared" si="27"/>
        <v>19712.397751768211</v>
      </c>
      <c r="BE44" s="9">
        <f t="shared" si="28"/>
        <v>3772.0603502585109</v>
      </c>
      <c r="BF44" s="9">
        <f t="shared" si="58"/>
        <v>461764.84528935328</v>
      </c>
      <c r="BG44" s="9">
        <f t="shared" si="29"/>
        <v>43008.423181924678</v>
      </c>
      <c r="BH44" s="9">
        <f t="shared" si="30"/>
        <v>19556.322402654663</v>
      </c>
      <c r="BI44" s="9">
        <f t="shared" si="31"/>
        <v>3615.9850011449635</v>
      </c>
      <c r="BJ44" s="9">
        <f t="shared" si="59"/>
        <v>460107.24166989134</v>
      </c>
      <c r="BK44" s="9">
        <f t="shared" si="32"/>
        <v>41350.819562462741</v>
      </c>
      <c r="BL44" s="9">
        <f t="shared" si="33"/>
        <v>20800.417081060372</v>
      </c>
      <c r="BM44" s="9">
        <f t="shared" si="34"/>
        <v>4860.0796795506722</v>
      </c>
      <c r="BN44" s="9">
        <f t="shared" si="60"/>
        <v>473837.54311653977</v>
      </c>
      <c r="BO44" s="9">
        <f t="shared" si="35"/>
        <v>55081.121009111172</v>
      </c>
      <c r="BP44" s="9">
        <f t="shared" si="36"/>
        <v>20985.713325537348</v>
      </c>
      <c r="BQ44" s="9">
        <f t="shared" si="37"/>
        <v>5045.3759240276486</v>
      </c>
      <c r="BR44" s="9">
        <f t="shared" si="61"/>
        <v>484542.97037165274</v>
      </c>
      <c r="BS44" s="9">
        <f t="shared" si="38"/>
        <v>65786.54826422414</v>
      </c>
      <c r="BV44" s="373">
        <f t="shared" si="18"/>
        <v>521.10735212066652</v>
      </c>
      <c r="BW44" s="374">
        <f t="shared" si="19"/>
        <v>26576.474958153991</v>
      </c>
      <c r="BX44" s="378">
        <f t="shared" si="39"/>
        <v>0.57830000000000026</v>
      </c>
      <c r="BY44" s="9">
        <f t="shared" si="20"/>
        <v>8674.5000000000036</v>
      </c>
      <c r="BZ44" s="323">
        <f t="shared" si="21"/>
        <v>23674.500000000004</v>
      </c>
      <c r="CA44" s="361"/>
    </row>
    <row r="45" spans="3:79" ht="17" thickBot="1">
      <c r="C45" s="322">
        <f t="shared" si="22"/>
        <v>2044</v>
      </c>
      <c r="D45" s="57">
        <f t="shared" si="23"/>
        <v>89</v>
      </c>
      <c r="E45" s="31">
        <f t="shared" si="40"/>
        <v>28</v>
      </c>
      <c r="F45" s="5">
        <f t="shared" ref="F45:F46" si="88">I44</f>
        <v>26576.474958153991</v>
      </c>
      <c r="G45" s="94">
        <f>IF(ISERROR(VLOOKUP(C45,'TABLES-ACTUAL &amp; FUTURE RATES'!$D$9:$F$80,2,FALSE)),0,VLOOKUP(C45,'TABLES-ACTUAL &amp; FUTURE RATES'!$D$9:$F$80,2,FALSE))</f>
        <v>0.02</v>
      </c>
      <c r="H45" s="5">
        <f t="shared" si="2"/>
        <v>531.52949916307978</v>
      </c>
      <c r="I45" s="5">
        <f t="shared" si="3"/>
        <v>27108.004457317071</v>
      </c>
      <c r="J45" s="317">
        <f t="shared" si="42"/>
        <v>0.89473684210526316</v>
      </c>
      <c r="K45" s="314">
        <f t="shared" si="43"/>
        <v>0.10526315789473684</v>
      </c>
      <c r="L45">
        <f t="shared" si="4"/>
        <v>2044</v>
      </c>
      <c r="M45" s="93">
        <f>IF(ISERROR(VLOOKUP(C45,'TABLES-ACTUAL &amp; FUTURE RATES'!$J$9:$K$80,2,FALSE)),0,VLOOKUP(C45,'TABLES-ACTUAL &amp; FUTURE RATES'!$J$9:$K$80,2,FALSE))</f>
        <v>0</v>
      </c>
      <c r="N45" s="7">
        <f t="shared" si="5"/>
        <v>33.558605055809892</v>
      </c>
      <c r="O45" s="8">
        <f t="shared" ref="O45:O46" si="89">O44+N45</f>
        <v>15973.89600656551</v>
      </c>
      <c r="P45" s="8">
        <f t="shared" si="45"/>
        <v>434730.31811399409</v>
      </c>
      <c r="Q45" s="9">
        <f t="shared" si="6"/>
        <v>-11134.108450751561</v>
      </c>
      <c r="R45" s="9">
        <f t="shared" ref="R45:R46" si="90">R44+Q45</f>
        <v>-152904.20813637623</v>
      </c>
      <c r="T45" s="93">
        <f>IF(ISERROR(VLOOKUP(C45,'TABLES-ACTUAL &amp; FUTURE RATES'!$L$9:$M$80,2,FALSE)),0,VLOOKUP(C45,'TABLES-ACTUAL &amp; FUTURE RATES'!$L$9:$M$80,2,FALSE))</f>
        <v>0</v>
      </c>
      <c r="U45" s="7">
        <f t="shared" si="7"/>
        <v>34.160541131826889</v>
      </c>
      <c r="V45" s="8">
        <f t="shared" ref="V45:V46" si="91">V44+U45</f>
        <v>16260.417578749601</v>
      </c>
      <c r="W45" s="9">
        <f t="shared" si="8"/>
        <v>-10847.58687856747</v>
      </c>
      <c r="X45" s="9">
        <f t="shared" ref="X45:X46" si="92">X44+W45</f>
        <v>-147855.71139106865</v>
      </c>
      <c r="Z45" s="93">
        <f>IF(ISERROR(VLOOKUP(C45,'TABLES-ACTUAL &amp; FUTURE RATES'!$N$9:$O$80,2,FALSE)),0,VLOOKUP(C45,'TABLES-ACTUAL &amp; FUTURE RATES'!$N$9:$O$80,2,FALSE))</f>
        <v>0</v>
      </c>
      <c r="AA45" s="7">
        <f t="shared" si="9"/>
        <v>41.499784740564657</v>
      </c>
      <c r="AB45" s="8">
        <f t="shared" ref="AB45:AB46" si="93">AB44+AA45</f>
        <v>19753.897536508775</v>
      </c>
      <c r="AC45" s="9">
        <f t="shared" si="10"/>
        <v>-7354.1069208082954</v>
      </c>
      <c r="AD45" s="9">
        <f t="shared" ref="AD45:AD46" si="94">AD44+AC45</f>
        <v>-106115.78342450823</v>
      </c>
      <c r="AF45" s="93">
        <f>IF(ISERROR(VLOOKUP(C45,'TABLES-ACTUAL &amp; FUTURE RATES'!$P$9:$Q$80,2,FALSE)),0,VLOOKUP(C45,'TABLES-ACTUAL &amp; FUTURE RATES'!$P$9:$Q$80,2,FALSE))</f>
        <v>0.01</v>
      </c>
      <c r="AG45" s="7">
        <f t="shared" si="11"/>
        <v>216.1488265556568</v>
      </c>
      <c r="AH45" s="8">
        <f t="shared" ref="AH45:AH46" si="95">AH44+AG45</f>
        <v>19772.471229210321</v>
      </c>
      <c r="AI45" s="24">
        <f t="shared" si="12"/>
        <v>-7335.5332281067494</v>
      </c>
      <c r="AJ45" s="9">
        <f t="shared" ref="AJ45:AJ46" si="96">AJ44+AI45</f>
        <v>-107754.81335126862</v>
      </c>
      <c r="AL45" s="93">
        <f>IF(ISERROR(VLOOKUP(C45,'TABLES-ACTUAL &amp; FUTURE RATES'!$R$9:$S$80,2,FALSE)),0,VLOOKUP(C45,'TABLES-ACTUAL &amp; FUTURE RATES'!$R$9:$S$80,2,FALSE))</f>
        <v>0.02</v>
      </c>
      <c r="AM45" s="7">
        <f t="shared" si="13"/>
        <v>416.00834162120742</v>
      </c>
      <c r="AN45" s="8">
        <f t="shared" ref="AN45:AN46" si="97">AN44+AM45</f>
        <v>21216.425422681579</v>
      </c>
      <c r="AO45" s="9">
        <f t="shared" si="14"/>
        <v>-5891.5790346354916</v>
      </c>
      <c r="AP45" s="9">
        <f t="shared" ref="AP45:AP46" si="98">AP44+AO45</f>
        <v>-92580.557711148911</v>
      </c>
      <c r="AR45" s="32">
        <f>IF(ISERROR(VLOOKUP(C45,'TABLES-ACTUAL &amp; FUTURE RATES'!$T$9:$V$80,3,FALSE)),0,VLOOKUP(C45,'TABLES-ACTUAL &amp; FUTURE RATES'!$T$9:$V$80,3,FALSE))</f>
        <v>0.5</v>
      </c>
      <c r="AS45" s="93">
        <f>IF(ISERROR(VLOOKUP(C45,'TABLES-ACTUAL &amp; FUTURE RATES'!$T$9:$U$80,2,FALSE)),0,VLOOKUP(C45,'TABLES-ACTUAL &amp; FUTURE RATES'!$T$9:$U$80,2,FALSE))</f>
        <v>0.01</v>
      </c>
      <c r="AT45" s="7">
        <f t="shared" si="15"/>
        <v>231.9473578085707</v>
      </c>
      <c r="AU45" s="8">
        <f t="shared" ref="AU45:AU46" si="99">AU44+AT45</f>
        <v>21217.660683345919</v>
      </c>
      <c r="AV45" s="9">
        <f t="shared" si="16"/>
        <v>-5890.3437739711517</v>
      </c>
      <c r="AW45" s="9">
        <f t="shared" ref="AW45:AW46" si="100">AW44+AV45</f>
        <v>-81873.895195371719</v>
      </c>
      <c r="AX45" s="259"/>
      <c r="AY45">
        <f t="shared" si="17"/>
        <v>89</v>
      </c>
      <c r="AZ45" s="9">
        <f t="shared" si="24"/>
        <v>16260.417578749601</v>
      </c>
      <c r="BA45" s="9">
        <f t="shared" si="25"/>
        <v>286.52157218409047</v>
      </c>
      <c r="BB45" s="9">
        <f t="shared" si="57"/>
        <v>439778.81485930161</v>
      </c>
      <c r="BC45" s="9">
        <f t="shared" si="26"/>
        <v>5048.4967453075224</v>
      </c>
      <c r="BD45" s="9">
        <f t="shared" si="27"/>
        <v>19753.897536508775</v>
      </c>
      <c r="BE45" s="9">
        <f t="shared" si="28"/>
        <v>3780.0015299432653</v>
      </c>
      <c r="BF45" s="9">
        <f t="shared" si="58"/>
        <v>481518.74282586208</v>
      </c>
      <c r="BG45" s="9">
        <f t="shared" si="29"/>
        <v>46788.424711867992</v>
      </c>
      <c r="BH45" s="9">
        <f t="shared" si="30"/>
        <v>19772.471229210321</v>
      </c>
      <c r="BI45" s="9">
        <f t="shared" si="31"/>
        <v>3798.5752226448112</v>
      </c>
      <c r="BJ45" s="9">
        <f t="shared" si="59"/>
        <v>479879.71289910167</v>
      </c>
      <c r="BK45" s="9">
        <f t="shared" si="32"/>
        <v>45149.394785107579</v>
      </c>
      <c r="BL45" s="9">
        <f t="shared" si="33"/>
        <v>21216.425422681579</v>
      </c>
      <c r="BM45" s="9">
        <f t="shared" si="34"/>
        <v>5242.5294161160691</v>
      </c>
      <c r="BN45" s="9">
        <f t="shared" si="60"/>
        <v>495053.96853922133</v>
      </c>
      <c r="BO45" s="9">
        <f t="shared" si="35"/>
        <v>60323.650425227243</v>
      </c>
      <c r="BP45" s="9">
        <f t="shared" si="36"/>
        <v>21217.660683345919</v>
      </c>
      <c r="BQ45" s="9">
        <f t="shared" si="37"/>
        <v>5243.764676780409</v>
      </c>
      <c r="BR45" s="9">
        <f t="shared" si="61"/>
        <v>505760.63105499867</v>
      </c>
      <c r="BS45" s="9">
        <f t="shared" si="38"/>
        <v>71030.31294100458</v>
      </c>
      <c r="BV45" s="373">
        <f t="shared" si="18"/>
        <v>531.52949916307978</v>
      </c>
      <c r="BW45" s="374">
        <f t="shared" si="19"/>
        <v>27108.004457317071</v>
      </c>
      <c r="BX45" s="378">
        <f t="shared" si="39"/>
        <v>0.59830000000000028</v>
      </c>
      <c r="BY45" s="9">
        <f t="shared" si="20"/>
        <v>8974.5000000000036</v>
      </c>
      <c r="BZ45" s="323">
        <f t="shared" si="21"/>
        <v>23974.500000000004</v>
      </c>
      <c r="CA45" s="361"/>
    </row>
    <row r="46" spans="3:79" ht="17" thickBot="1">
      <c r="C46" s="322">
        <f t="shared" si="22"/>
        <v>2045</v>
      </c>
      <c r="D46" s="57">
        <f t="shared" si="23"/>
        <v>90</v>
      </c>
      <c r="E46" s="31">
        <f t="shared" si="40"/>
        <v>29</v>
      </c>
      <c r="F46" s="5">
        <f t="shared" si="88"/>
        <v>27108.004457317071</v>
      </c>
      <c r="G46" s="94">
        <f>IF(ISERROR(VLOOKUP(C46,'TABLES-ACTUAL &amp; FUTURE RATES'!$D$9:$F$80,2,FALSE)),0,VLOOKUP(C46,'TABLES-ACTUAL &amp; FUTURE RATES'!$D$9:$F$80,2,FALSE))</f>
        <v>0.02</v>
      </c>
      <c r="H46" s="5">
        <f t="shared" si="2"/>
        <v>542.16008914634142</v>
      </c>
      <c r="I46" s="5">
        <f t="shared" si="3"/>
        <v>27650.164546463413</v>
      </c>
      <c r="J46" s="317">
        <f t="shared" si="42"/>
        <v>0.89473684210526316</v>
      </c>
      <c r="K46" s="314">
        <f t="shared" si="43"/>
        <v>0.10526315789473684</v>
      </c>
      <c r="L46">
        <f t="shared" si="4"/>
        <v>2045</v>
      </c>
      <c r="M46" s="93">
        <f>IF(ISERROR(VLOOKUP(C46,'TABLES-ACTUAL &amp; FUTURE RATES'!$J$9:$K$80,2,FALSE)),0,VLOOKUP(C46,'TABLES-ACTUAL &amp; FUTURE RATES'!$J$9:$K$80,2,FALSE))</f>
        <v>0</v>
      </c>
      <c r="N46" s="7">
        <f t="shared" si="5"/>
        <v>33.629254750664231</v>
      </c>
      <c r="O46" s="8">
        <f t="shared" si="89"/>
        <v>16007.525261316174</v>
      </c>
      <c r="P46" s="8">
        <f t="shared" si="45"/>
        <v>450737.84337531024</v>
      </c>
      <c r="Q46" s="9">
        <f t="shared" si="6"/>
        <v>-11642.639285147239</v>
      </c>
      <c r="R46" s="9">
        <f t="shared" si="90"/>
        <v>-164546.84742152347</v>
      </c>
      <c r="T46" s="93">
        <f>IF(ISERROR(VLOOKUP(C46,'TABLES-ACTUAL &amp; FUTURE RATES'!$L$9:$M$80,2,FALSE)),0,VLOOKUP(C46,'TABLES-ACTUAL &amp; FUTURE RATES'!$L$9:$M$80,2,FALSE))</f>
        <v>0</v>
      </c>
      <c r="U46" s="7">
        <f t="shared" si="7"/>
        <v>34.232458060525474</v>
      </c>
      <c r="V46" s="8">
        <f t="shared" si="91"/>
        <v>16294.650036810126</v>
      </c>
      <c r="W46" s="9">
        <f t="shared" si="8"/>
        <v>-11355.514509653287</v>
      </c>
      <c r="X46" s="9">
        <f t="shared" si="92"/>
        <v>-159211.22590072194</v>
      </c>
      <c r="Z46" s="93">
        <f>IF(ISERROR(VLOOKUP(C46,'TABLES-ACTUAL &amp; FUTURE RATES'!$N$9:$O$80,2,FALSE)),0,VLOOKUP(C46,'TABLES-ACTUAL &amp; FUTURE RATES'!$N$9:$O$80,2,FALSE))</f>
        <v>0.02</v>
      </c>
      <c r="AA46" s="7">
        <f t="shared" si="9"/>
        <v>395.07795073017553</v>
      </c>
      <c r="AB46" s="8">
        <f t="shared" si="93"/>
        <v>20148.975487238949</v>
      </c>
      <c r="AC46" s="9">
        <f t="shared" si="10"/>
        <v>-7501.1890592244636</v>
      </c>
      <c r="AD46" s="9">
        <f t="shared" si="94"/>
        <v>-113616.97248373269</v>
      </c>
      <c r="AF46" s="93">
        <f>IF(ISERROR(VLOOKUP(C46,'TABLES-ACTUAL &amp; FUTURE RATES'!$P$9:$Q$80,2,FALSE)),0,VLOOKUP(C46,'TABLES-ACTUAL &amp; FUTURE RATES'!$P$9:$Q$80,2,FALSE))</f>
        <v>0.01</v>
      </c>
      <c r="AG46" s="7">
        <f t="shared" si="11"/>
        <v>218.53783990179829</v>
      </c>
      <c r="AH46" s="8">
        <f t="shared" si="95"/>
        <v>19991.009069112119</v>
      </c>
      <c r="AI46" s="24">
        <f t="shared" si="12"/>
        <v>-7659.1554773512944</v>
      </c>
      <c r="AJ46" s="9">
        <f t="shared" si="96"/>
        <v>-115413.96882861991</v>
      </c>
      <c r="AL46" s="93">
        <f>IF(ISERROR(VLOOKUP(C46,'TABLES-ACTUAL &amp; FUTURE RATES'!$R$9:$S$80,2,FALSE)),0,VLOOKUP(C46,'TABLES-ACTUAL &amp; FUTURE RATES'!$R$9:$S$80,2,FALSE))</f>
        <v>0.01</v>
      </c>
      <c r="AM46" s="7">
        <f t="shared" si="13"/>
        <v>234.4973336191122</v>
      </c>
      <c r="AN46" s="8">
        <f t="shared" si="97"/>
        <v>21450.92275630069</v>
      </c>
      <c r="AO46" s="9">
        <f t="shared" si="14"/>
        <v>-6199.2417901627232</v>
      </c>
      <c r="AP46" s="9">
        <f t="shared" si="98"/>
        <v>-98779.799501311631</v>
      </c>
      <c r="AR46" s="32">
        <f>IF(ISERROR(VLOOKUP(C46,'TABLES-ACTUAL &amp; FUTURE RATES'!$T$9:$V$80,3,FALSE)),0,VLOOKUP(C46,'TABLES-ACTUAL &amp; FUTURE RATES'!$T$9:$V$80,3,FALSE))</f>
        <v>0.5</v>
      </c>
      <c r="AS46" s="93">
        <f>IF(ISERROR(VLOOKUP(C46,'TABLES-ACTUAL &amp; FUTURE RATES'!$T$9:$U$80,2,FALSE)),0,VLOOKUP(C46,'TABLES-ACTUAL &amp; FUTURE RATES'!$T$9:$U$80,2,FALSE))</f>
        <v>0.01</v>
      </c>
      <c r="AT46" s="7">
        <f t="shared" si="15"/>
        <v>234.5109865001391</v>
      </c>
      <c r="AU46" s="8">
        <f t="shared" si="99"/>
        <v>21452.171669846059</v>
      </c>
      <c r="AV46" s="9">
        <f t="shared" si="16"/>
        <v>-6197.9928766173543</v>
      </c>
      <c r="AW46" s="9">
        <f t="shared" si="100"/>
        <v>-88071.888071989073</v>
      </c>
      <c r="AX46" s="259"/>
      <c r="AY46">
        <f t="shared" si="17"/>
        <v>90</v>
      </c>
      <c r="AZ46" s="9">
        <f t="shared" si="24"/>
        <v>16294.650036810126</v>
      </c>
      <c r="BA46" s="9">
        <f t="shared" si="25"/>
        <v>287.12477549395226</v>
      </c>
      <c r="BB46" s="9">
        <f t="shared" si="57"/>
        <v>456073.46489611175</v>
      </c>
      <c r="BC46" s="9">
        <f t="shared" si="26"/>
        <v>5335.6215208015055</v>
      </c>
      <c r="BD46" s="9">
        <f t="shared" si="27"/>
        <v>20148.975487238949</v>
      </c>
      <c r="BE46" s="9">
        <f t="shared" si="28"/>
        <v>4141.4502259227756</v>
      </c>
      <c r="BF46" s="9">
        <f t="shared" si="58"/>
        <v>501667.71831310104</v>
      </c>
      <c r="BG46" s="9">
        <f t="shared" si="29"/>
        <v>50929.874937790795</v>
      </c>
      <c r="BH46" s="9">
        <f t="shared" si="30"/>
        <v>19991.009069112119</v>
      </c>
      <c r="BI46" s="9">
        <f t="shared" si="31"/>
        <v>3983.4838077959448</v>
      </c>
      <c r="BJ46" s="9">
        <f t="shared" si="59"/>
        <v>499870.72196821379</v>
      </c>
      <c r="BK46" s="9">
        <f t="shared" si="32"/>
        <v>49132.878592903551</v>
      </c>
      <c r="BL46" s="9">
        <f t="shared" si="33"/>
        <v>21450.92275630069</v>
      </c>
      <c r="BM46" s="9">
        <f t="shared" si="34"/>
        <v>5443.397494984516</v>
      </c>
      <c r="BN46" s="9">
        <f t="shared" si="60"/>
        <v>516504.89129552204</v>
      </c>
      <c r="BO46" s="9">
        <f t="shared" si="35"/>
        <v>65767.0479202118</v>
      </c>
      <c r="BP46" s="9">
        <f t="shared" si="36"/>
        <v>21452.171669846059</v>
      </c>
      <c r="BQ46" s="9">
        <f t="shared" si="37"/>
        <v>5444.6464085298849</v>
      </c>
      <c r="BR46" s="9">
        <f t="shared" si="61"/>
        <v>527212.80272484478</v>
      </c>
      <c r="BS46" s="9">
        <f t="shared" si="38"/>
        <v>76474.959349534533</v>
      </c>
      <c r="BV46" s="373">
        <f t="shared" si="18"/>
        <v>542.16008914634142</v>
      </c>
      <c r="BW46" s="374">
        <f t="shared" si="19"/>
        <v>27650.164546463413</v>
      </c>
      <c r="BX46" s="378">
        <f t="shared" si="39"/>
        <v>0.61830000000000029</v>
      </c>
      <c r="BY46" s="9">
        <f t="shared" si="20"/>
        <v>9274.5000000000036</v>
      </c>
      <c r="BZ46" s="323">
        <f t="shared" si="21"/>
        <v>24274.500000000004</v>
      </c>
      <c r="CA46" s="361"/>
    </row>
    <row r="47" spans="3:79" ht="17" thickBot="1">
      <c r="C47" s="324">
        <f>C46+1</f>
        <v>2046</v>
      </c>
      <c r="D47" s="325">
        <f>D46+1</f>
        <v>91</v>
      </c>
      <c r="E47" s="326">
        <f>E46+1</f>
        <v>30</v>
      </c>
      <c r="F47" s="327">
        <f>I46</f>
        <v>27650.164546463413</v>
      </c>
      <c r="G47" s="328">
        <f>IF(ISERROR(VLOOKUP(C47,'TABLES-ACTUAL &amp; FUTURE RATES'!$D$9:$F$80,2,FALSE)),0,VLOOKUP(C47,'TABLES-ACTUAL &amp; FUTURE RATES'!$D$9:$F$80,2,FALSE))</f>
        <v>0.02</v>
      </c>
      <c r="H47" s="5">
        <f t="shared" si="2"/>
        <v>553.00329092926825</v>
      </c>
      <c r="I47" s="5">
        <f t="shared" si="3"/>
        <v>28203.167837392681</v>
      </c>
      <c r="J47" s="317">
        <f>J46</f>
        <v>0.89473684210526316</v>
      </c>
      <c r="K47" s="314">
        <f>K46</f>
        <v>0.10526315789473684</v>
      </c>
      <c r="L47">
        <f t="shared" si="4"/>
        <v>2046</v>
      </c>
      <c r="M47" s="93">
        <f>IF(ISERROR(VLOOKUP(C47,'TABLES-ACTUAL &amp; FUTURE RATES'!$J$9:$K$80,2,FALSE)),0,VLOOKUP(C47,'TABLES-ACTUAL &amp; FUTURE RATES'!$J$9:$K$80,2,FALSE))</f>
        <v>0</v>
      </c>
      <c r="N47" s="7">
        <f t="shared" si="5"/>
        <v>33.70005318171826</v>
      </c>
      <c r="O47" s="8">
        <f>O46+N47</f>
        <v>16041.225314497891</v>
      </c>
      <c r="P47" s="8">
        <f t="shared" si="45"/>
        <v>466779.06868980813</v>
      </c>
      <c r="Q47" s="9">
        <f t="shared" si="6"/>
        <v>-12161.942522894789</v>
      </c>
      <c r="R47" s="9">
        <f>R46+Q47</f>
        <v>-176708.78994441827</v>
      </c>
      <c r="T47" s="93">
        <f>IF(ISERROR(VLOOKUP(C47,'TABLES-ACTUAL &amp; FUTURE RATES'!$L$9:$M$80,2,FALSE)),0,VLOOKUP(C47,'TABLES-ACTUAL &amp; FUTURE RATES'!$L$9:$M$80,2,FALSE))</f>
        <v>0.01</v>
      </c>
      <c r="U47" s="7">
        <f t="shared" si="7"/>
        <v>180.09876356474351</v>
      </c>
      <c r="V47" s="8">
        <f>V46+U47</f>
        <v>16474.748800374869</v>
      </c>
      <c r="W47" s="9">
        <f t="shared" si="8"/>
        <v>-11728.419037017811</v>
      </c>
      <c r="X47" s="9">
        <f>X46+W47</f>
        <v>-170939.64493773977</v>
      </c>
      <c r="Z47" s="93">
        <f>IF(ISERROR(VLOOKUP(C47,'TABLES-ACTUAL &amp; FUTURE RATES'!$N$9:$O$80,2,FALSE)),0,VLOOKUP(C47,'TABLES-ACTUAL &amp; FUTURE RATES'!$N$9:$O$80,2,FALSE))</f>
        <v>0</v>
      </c>
      <c r="AA47" s="7">
        <f t="shared" si="9"/>
        <v>42.418895762608308</v>
      </c>
      <c r="AB47" s="8">
        <f>AB46+AA47</f>
        <v>20191.394383001556</v>
      </c>
      <c r="AC47" s="9">
        <f t="shared" si="10"/>
        <v>-8011.7734543911247</v>
      </c>
      <c r="AD47" s="9">
        <f>AD46+AC47</f>
        <v>-121628.74593812381</v>
      </c>
      <c r="AF47" s="93">
        <f>IF(ISERROR(VLOOKUP(C47,'TABLES-ACTUAL &amp; FUTURE RATES'!$P$9:$Q$80,2,FALSE)),0,VLOOKUP(C47,'TABLES-ACTUAL &amp; FUTURE RATES'!$P$9:$Q$80,2,FALSE))</f>
        <v>0.01</v>
      </c>
      <c r="AG47" s="7">
        <f t="shared" si="11"/>
        <v>220.95325813229184</v>
      </c>
      <c r="AH47" s="8">
        <f>AH46+AG47</f>
        <v>20211.962327244411</v>
      </c>
      <c r="AI47" s="24">
        <f t="shared" si="12"/>
        <v>-7991.2055101482692</v>
      </c>
      <c r="AJ47" s="9">
        <f>AJ46+AI47</f>
        <v>-123405.17433876818</v>
      </c>
      <c r="AL47" s="93">
        <f>IF(ISERROR(VLOOKUP(C47,'TABLES-ACTUAL &amp; FUTURE RATES'!$R$9:$S$80,2,FALSE)),0,VLOOKUP(C47,'TABLES-ACTUAL &amp; FUTURE RATES'!$R$9:$S$80,2,FALSE))</f>
        <v>0.01</v>
      </c>
      <c r="AM47" s="7">
        <f t="shared" si="13"/>
        <v>237.08914625384975</v>
      </c>
      <c r="AN47" s="8">
        <f>AN46+AM47</f>
        <v>21688.011902554539</v>
      </c>
      <c r="AO47" s="9">
        <f t="shared" si="14"/>
        <v>-6515.1559348381415</v>
      </c>
      <c r="AP47" s="9">
        <f>AP46+AO47</f>
        <v>-105294.95543614977</v>
      </c>
      <c r="AR47" s="32">
        <f>IF(ISERROR(VLOOKUP(C47,'TABLES-ACTUAL &amp; FUTURE RATES'!$T$9:$V$80,3,FALSE)),0,VLOOKUP(C47,'TABLES-ACTUAL &amp; FUTURE RATES'!$T$9:$V$80,3,FALSE))</f>
        <v>0.25</v>
      </c>
      <c r="AS47" s="93">
        <f>IF(ISERROR(VLOOKUP(C47,'TABLES-ACTUAL &amp; FUTURE RATES'!$T$9:$U$80,2,FALSE)),0,VLOOKUP(C47,'TABLES-ACTUAL &amp; FUTURE RATES'!$T$9:$U$80,2,FALSE))</f>
        <v>5.0000000000000001E-3</v>
      </c>
      <c r="AT47" s="7">
        <f t="shared" si="15"/>
        <v>141.13270835425038</v>
      </c>
      <c r="AU47" s="8">
        <f>AU46+AT47</f>
        <v>21593.304378200308</v>
      </c>
      <c r="AV47" s="9">
        <f t="shared" si="16"/>
        <v>-6609.8634591923728</v>
      </c>
      <c r="AW47" s="9">
        <f>AW46+AV47</f>
        <v>-94681.75153118145</v>
      </c>
      <c r="AY47">
        <f t="shared" si="17"/>
        <v>91</v>
      </c>
      <c r="AZ47" s="9">
        <f t="shared" si="24"/>
        <v>16474.748800374869</v>
      </c>
      <c r="BA47" s="9">
        <f t="shared" si="25"/>
        <v>433.52348587697816</v>
      </c>
      <c r="BB47" s="9">
        <f t="shared" si="57"/>
        <v>472548.21369648661</v>
      </c>
      <c r="BC47" s="9">
        <f t="shared" si="26"/>
        <v>5769.1450066784746</v>
      </c>
      <c r="BD47" s="9">
        <f t="shared" si="27"/>
        <v>20191.394383001556</v>
      </c>
      <c r="BE47" s="9">
        <f t="shared" si="28"/>
        <v>4150.1690685036647</v>
      </c>
      <c r="BF47" s="9">
        <f t="shared" si="58"/>
        <v>521859.11269610259</v>
      </c>
      <c r="BG47" s="9">
        <f t="shared" si="29"/>
        <v>55080.044006294454</v>
      </c>
      <c r="BH47" s="9">
        <f t="shared" si="30"/>
        <v>20211.962327244411</v>
      </c>
      <c r="BI47" s="9">
        <f t="shared" si="31"/>
        <v>4170.7370127465201</v>
      </c>
      <c r="BJ47" s="9">
        <f t="shared" si="59"/>
        <v>520082.6842954582</v>
      </c>
      <c r="BK47" s="9">
        <f t="shared" si="32"/>
        <v>53303.615605650062</v>
      </c>
      <c r="BL47" s="9">
        <f t="shared" si="33"/>
        <v>21688.011902554539</v>
      </c>
      <c r="BM47" s="9">
        <f t="shared" si="34"/>
        <v>5646.7865880566478</v>
      </c>
      <c r="BN47" s="9">
        <f t="shared" si="60"/>
        <v>538192.90319807653</v>
      </c>
      <c r="BO47" s="9">
        <f t="shared" si="35"/>
        <v>71413.834508268395</v>
      </c>
      <c r="BP47" s="9">
        <f t="shared" si="36"/>
        <v>21593.304378200308</v>
      </c>
      <c r="BQ47" s="9">
        <f t="shared" si="37"/>
        <v>5552.0790637024165</v>
      </c>
      <c r="BR47" s="9">
        <f t="shared" si="61"/>
        <v>548806.1071030451</v>
      </c>
      <c r="BS47" s="9">
        <f t="shared" si="38"/>
        <v>82027.038413236965</v>
      </c>
      <c r="BV47" s="373">
        <f t="shared" si="18"/>
        <v>553.00329092926825</v>
      </c>
      <c r="BW47" s="374">
        <f t="shared" si="19"/>
        <v>28203.167837392681</v>
      </c>
      <c r="BX47" s="379">
        <f t="shared" si="39"/>
        <v>0.63830000000000031</v>
      </c>
      <c r="BY47" s="380">
        <f t="shared" si="20"/>
        <v>9574.5000000000055</v>
      </c>
      <c r="BZ47" s="329">
        <f t="shared" si="21"/>
        <v>24574.500000000007</v>
      </c>
      <c r="CA47" s="361"/>
    </row>
    <row r="48" spans="3:79" ht="27" customHeight="1" thickBot="1">
      <c r="C48" s="636" t="s">
        <v>7</v>
      </c>
      <c r="D48" s="637"/>
      <c r="E48" s="638"/>
      <c r="F48" s="34">
        <f>SUM(I18:I47)</f>
        <v>643487.85863422637</v>
      </c>
      <c r="I48" s="3">
        <f>SUM(I18:I47)</f>
        <v>643487.85863422637</v>
      </c>
      <c r="J48" s="3"/>
      <c r="K48" s="3"/>
      <c r="L48" s="3"/>
      <c r="M48" s="625" t="s">
        <v>8</v>
      </c>
      <c r="N48" s="625"/>
      <c r="O48" s="13">
        <f>SUM(O18:O47)</f>
        <v>466779.06868980813</v>
      </c>
      <c r="P48" s="28"/>
      <c r="R48" s="6">
        <f>O48-$F$48</f>
        <v>-176708.78994441824</v>
      </c>
      <c r="T48" s="625" t="s">
        <v>8</v>
      </c>
      <c r="U48" s="625"/>
      <c r="V48" s="6">
        <f>SUM(V18:V47)</f>
        <v>472548.21369648661</v>
      </c>
      <c r="X48" s="6">
        <f>V48-$F$48</f>
        <v>-170939.64493773977</v>
      </c>
      <c r="Z48" s="618" t="s">
        <v>8</v>
      </c>
      <c r="AA48" s="618"/>
      <c r="AB48" s="6">
        <f>SUM(AB18:AB47)</f>
        <v>521859.11269610259</v>
      </c>
      <c r="AD48" s="6">
        <f>AB48-$F$48</f>
        <v>-121628.74593812379</v>
      </c>
      <c r="AF48" s="618" t="s">
        <v>8</v>
      </c>
      <c r="AG48" s="618"/>
      <c r="AH48" s="6">
        <f>SUM(AH18:AH47)</f>
        <v>520082.6842954582</v>
      </c>
      <c r="AJ48" s="6">
        <f>AH48-$F$48</f>
        <v>-123405.17433876818</v>
      </c>
      <c r="AL48" s="618" t="s">
        <v>8</v>
      </c>
      <c r="AM48" s="618"/>
      <c r="AN48" s="6">
        <f>SUM(AN18:AN47)</f>
        <v>538192.90319807653</v>
      </c>
      <c r="AP48" s="6">
        <f>AN48-$F$48</f>
        <v>-105294.95543614984</v>
      </c>
      <c r="AS48" s="618" t="s">
        <v>8</v>
      </c>
      <c r="AT48" s="618"/>
      <c r="AU48" s="6">
        <f>SUM(AU18:AU47)</f>
        <v>548806.1071030451</v>
      </c>
      <c r="AW48" s="6">
        <f>AU48-$F$48</f>
        <v>-94681.751531181275</v>
      </c>
    </row>
    <row r="49" spans="3:56" ht="16" thickBot="1">
      <c r="H49" t="s">
        <v>57</v>
      </c>
      <c r="I49" s="140">
        <v>0.04</v>
      </c>
      <c r="J49" s="140"/>
      <c r="K49" s="140"/>
      <c r="L49" s="140"/>
      <c r="M49" s="618" t="s">
        <v>10</v>
      </c>
      <c r="N49" s="619"/>
      <c r="O49" s="15">
        <f>O48/$F$48</f>
        <v>0.72538908454391882</v>
      </c>
      <c r="P49" s="272"/>
      <c r="R49" s="14"/>
      <c r="T49" s="618" t="s">
        <v>10</v>
      </c>
      <c r="U49" s="619"/>
      <c r="V49" s="15">
        <f>V48/$F$48</f>
        <v>0.73435451400660245</v>
      </c>
      <c r="Z49" s="618" t="s">
        <v>10</v>
      </c>
      <c r="AA49" s="619"/>
      <c r="AB49" s="15">
        <f>AB48/$F$48</f>
        <v>0.81098517352561206</v>
      </c>
      <c r="AF49" s="618" t="s">
        <v>10</v>
      </c>
      <c r="AG49" s="619"/>
      <c r="AH49" s="15">
        <f>AH48/$F$48</f>
        <v>0.80822454894379825</v>
      </c>
      <c r="AL49" s="618" t="s">
        <v>10</v>
      </c>
      <c r="AM49" s="619"/>
      <c r="AN49" s="15">
        <f>AN48/$F$48</f>
        <v>0.83636838827132876</v>
      </c>
      <c r="AS49" s="618" t="s">
        <v>10</v>
      </c>
      <c r="AT49" s="619"/>
      <c r="AU49" s="15">
        <f>AU48/$F$48</f>
        <v>0.85286163482223432</v>
      </c>
    </row>
    <row r="50" spans="3:56">
      <c r="C50" s="136"/>
      <c r="D50" s="137" t="s">
        <v>0</v>
      </c>
      <c r="E50" s="136"/>
      <c r="F50" s="136" t="s">
        <v>55</v>
      </c>
      <c r="G50" s="136" t="s">
        <v>59</v>
      </c>
      <c r="H50" s="136" t="s">
        <v>56</v>
      </c>
      <c r="I50" s="136" t="s">
        <v>58</v>
      </c>
      <c r="J50" s="170"/>
      <c r="K50" s="170"/>
      <c r="L50" s="170"/>
      <c r="M50" s="170"/>
      <c r="N50" s="170"/>
      <c r="O50" s="170"/>
      <c r="P50" s="170"/>
      <c r="Q50" s="170"/>
      <c r="R50" s="170"/>
      <c r="AU50" s="3"/>
      <c r="AV50" s="20"/>
      <c r="BB50" s="3"/>
      <c r="BC50" s="20"/>
    </row>
    <row r="51" spans="3:56">
      <c r="C51" s="136" t="s">
        <v>53</v>
      </c>
      <c r="D51" s="136">
        <f>'MASTER SUMMARY'!M9</f>
        <v>1980</v>
      </c>
      <c r="E51" s="136">
        <v>1997</v>
      </c>
      <c r="F51" s="136">
        <f>IF(AND(D51&lt;E51,D52&lt;E51),D53,IF(D51&gt;E51,0,IF(AND(E51&lt;D51,D52&gt;E52),D52-D51,E51-D51)))</f>
        <v>17</v>
      </c>
      <c r="G51" s="270">
        <f>F51/D53</f>
        <v>0.89473684210526316</v>
      </c>
      <c r="H51" s="138">
        <f>F18*G51</f>
        <v>13421.052631578947</v>
      </c>
      <c r="I51" s="138">
        <f>H51*I49</f>
        <v>536.84210526315792</v>
      </c>
      <c r="J51" s="171"/>
      <c r="K51" s="171"/>
      <c r="L51" s="171"/>
      <c r="M51" s="171"/>
      <c r="N51" s="171"/>
      <c r="O51" s="171"/>
      <c r="P51" s="171"/>
      <c r="Q51" s="171"/>
      <c r="R51" s="171"/>
      <c r="AA51" s="615" t="s">
        <v>9</v>
      </c>
      <c r="AB51" s="616"/>
      <c r="AC51" s="617"/>
      <c r="AE51" s="17">
        <f>X48-$R$48</f>
        <v>5769.1450066784746</v>
      </c>
      <c r="AG51" s="615" t="s">
        <v>9</v>
      </c>
      <c r="AH51" s="616"/>
      <c r="AI51" s="617"/>
      <c r="AK51" s="17">
        <f>AD48-$R$48</f>
        <v>55080.044006294454</v>
      </c>
      <c r="AM51" s="615" t="s">
        <v>9</v>
      </c>
      <c r="AN51" s="616"/>
      <c r="AO51" s="617"/>
      <c r="AQ51" s="17">
        <f>AJ48-$R$48</f>
        <v>53303.615605650062</v>
      </c>
      <c r="AS51" s="615" t="s">
        <v>9</v>
      </c>
      <c r="AT51" s="616"/>
      <c r="AU51" s="617"/>
      <c r="AW51" s="17">
        <f>AP48-$R$48</f>
        <v>71413.834508268395</v>
      </c>
      <c r="AZ51" s="615" t="s">
        <v>9</v>
      </c>
      <c r="BA51" s="616"/>
      <c r="BB51" s="617"/>
      <c r="BD51" s="17">
        <f>AW48-$R$48</f>
        <v>82027.038413236965</v>
      </c>
    </row>
    <row r="52" spans="3:56">
      <c r="C52" s="136" t="s">
        <v>54</v>
      </c>
      <c r="D52" s="136">
        <f>'MASTER SUMMARY'!M10</f>
        <v>1999</v>
      </c>
      <c r="E52" s="136">
        <v>1997</v>
      </c>
      <c r="F52" s="136">
        <f>IF(AND(D51&lt;E51,D52&lt;E52),0,IF(D52&gt;E52,D53-F51,IF(AND(E52&lt;D52,D53&gt;E53),D53-D52,E52-D52)))</f>
        <v>2</v>
      </c>
      <c r="G52" s="270">
        <f>F52/D53</f>
        <v>0.10526315789473684</v>
      </c>
      <c r="H52" s="138">
        <f>F18*G52</f>
        <v>1578.9473684210525</v>
      </c>
      <c r="I52" s="138">
        <f>H52*I49</f>
        <v>63.157894736842103</v>
      </c>
      <c r="J52" s="171"/>
      <c r="K52" s="171"/>
      <c r="L52" s="171"/>
      <c r="M52" s="171"/>
      <c r="N52" s="171"/>
      <c r="O52" s="171"/>
      <c r="P52" s="171"/>
      <c r="Q52" s="171">
        <f>I52+I51</f>
        <v>600</v>
      </c>
      <c r="R52" s="171"/>
      <c r="AE52" s="18">
        <f>AE51/$R$48*-1</f>
        <v>3.2647753450708902E-2</v>
      </c>
      <c r="AK52" s="18">
        <f>AK51/$R$48*-1</f>
        <v>0.3116995143457168</v>
      </c>
      <c r="AQ52" s="18">
        <f>AQ51/$R$48*-1</f>
        <v>0.30164665618736969</v>
      </c>
      <c r="AW52" s="18">
        <f>AW51/$R$48*-1</f>
        <v>0.40413289305376837</v>
      </c>
      <c r="BD52" s="18">
        <f>BD51/$R$48*-1</f>
        <v>0.46419331171379558</v>
      </c>
    </row>
    <row r="53" spans="3:56">
      <c r="C53" s="136" t="s">
        <v>55</v>
      </c>
      <c r="D53" s="136">
        <f>D52-D51</f>
        <v>19</v>
      </c>
      <c r="E53" s="136"/>
      <c r="F53" s="136"/>
      <c r="G53" s="271"/>
      <c r="H53" s="139">
        <f>SUM(H51:H52)</f>
        <v>15000</v>
      </c>
      <c r="I53" s="138">
        <f>H53+(H53/100*G52)</f>
        <v>15015.78947368421</v>
      </c>
      <c r="J53" s="171"/>
      <c r="K53" s="171"/>
      <c r="L53" s="171"/>
      <c r="M53" s="171"/>
      <c r="N53" s="171"/>
      <c r="O53" s="171"/>
      <c r="P53" s="171"/>
      <c r="Q53" s="171"/>
      <c r="R53" s="171"/>
    </row>
    <row r="54" spans="3:56">
      <c r="D54" s="259"/>
      <c r="E54" s="259"/>
      <c r="F54" s="259"/>
      <c r="H54" s="3">
        <f>H53/100*4</f>
        <v>600</v>
      </c>
      <c r="Q54" s="38">
        <f>I51+I52</f>
        <v>600</v>
      </c>
      <c r="U54" s="640" t="s">
        <v>47</v>
      </c>
      <c r="V54" s="640"/>
      <c r="W54" s="640"/>
      <c r="X54" s="640"/>
      <c r="Y54" s="640"/>
      <c r="AB54" s="640" t="s">
        <v>13</v>
      </c>
      <c r="AC54" s="640"/>
      <c r="AD54" s="640"/>
      <c r="AE54" s="640"/>
      <c r="AH54" s="640" t="s">
        <v>13</v>
      </c>
      <c r="AI54" s="640"/>
      <c r="AJ54" s="640"/>
      <c r="AK54" s="640"/>
      <c r="AN54" s="640" t="s">
        <v>13</v>
      </c>
      <c r="AO54" s="640"/>
      <c r="AP54" s="640"/>
      <c r="AQ54" s="640"/>
      <c r="AT54" s="640" t="s">
        <v>13</v>
      </c>
      <c r="AU54" s="640"/>
      <c r="AV54" s="640"/>
      <c r="AW54" s="640"/>
      <c r="BA54" s="640" t="s">
        <v>13</v>
      </c>
      <c r="BB54" s="640"/>
      <c r="BC54" s="640"/>
      <c r="BD54" s="640"/>
    </row>
    <row r="55" spans="3:56" ht="80">
      <c r="T55" s="132" t="s">
        <v>46</v>
      </c>
      <c r="U55" s="131" t="s">
        <v>0</v>
      </c>
      <c r="V55" s="135" t="s">
        <v>50</v>
      </c>
      <c r="W55" s="135"/>
      <c r="X55" s="135" t="s">
        <v>52</v>
      </c>
      <c r="Y55" s="135" t="s">
        <v>51</v>
      </c>
      <c r="AB55" s="56" t="s">
        <v>20</v>
      </c>
      <c r="AC55" s="55" t="s">
        <v>22</v>
      </c>
      <c r="AD55" s="55" t="s">
        <v>21</v>
      </c>
      <c r="AE55" s="55" t="s">
        <v>23</v>
      </c>
      <c r="AH55" s="56" t="s">
        <v>20</v>
      </c>
      <c r="AI55" s="55" t="s">
        <v>22</v>
      </c>
      <c r="AJ55" s="55" t="s">
        <v>21</v>
      </c>
      <c r="AK55" s="55" t="s">
        <v>23</v>
      </c>
      <c r="AN55" s="56" t="s">
        <v>20</v>
      </c>
      <c r="AO55" s="55" t="s">
        <v>22</v>
      </c>
      <c r="AP55" s="55" t="s">
        <v>21</v>
      </c>
      <c r="AQ55" s="55" t="s">
        <v>23</v>
      </c>
      <c r="AT55" s="56" t="s">
        <v>20</v>
      </c>
      <c r="AU55" s="55" t="s">
        <v>22</v>
      </c>
      <c r="AV55" s="55" t="s">
        <v>21</v>
      </c>
      <c r="AW55" s="55" t="s">
        <v>23</v>
      </c>
      <c r="BA55" s="56" t="s">
        <v>20</v>
      </c>
      <c r="BB55" s="55" t="s">
        <v>22</v>
      </c>
      <c r="BC55" s="55" t="s">
        <v>21</v>
      </c>
      <c r="BD55" s="55" t="s">
        <v>23</v>
      </c>
    </row>
    <row r="56" spans="3:56">
      <c r="S56">
        <v>60</v>
      </c>
      <c r="T56" s="45">
        <f>D22</f>
        <v>66</v>
      </c>
      <c r="U56" s="133">
        <f>C22</f>
        <v>2021</v>
      </c>
      <c r="V56" s="64">
        <f>O22/$I$22</f>
        <v>0.88534056560086238</v>
      </c>
      <c r="W56" s="64"/>
      <c r="X56" s="65">
        <f>Q22</f>
        <v>-1971.0761044454503</v>
      </c>
      <c r="Y56" s="65">
        <f>R22</f>
        <v>-6154.5921324458686</v>
      </c>
      <c r="AB56" s="57">
        <v>5</v>
      </c>
      <c r="AC56" s="59">
        <f>V22/$I$22</f>
        <v>0.89324539207944142</v>
      </c>
      <c r="AD56" s="58">
        <f>W22</f>
        <v>-1835.1865924888825</v>
      </c>
      <c r="AE56" s="58">
        <f>X22</f>
        <v>-6018.7026204893009</v>
      </c>
      <c r="AH56" s="57">
        <v>5</v>
      </c>
      <c r="AI56" s="59">
        <f>AB22/$I$22</f>
        <v>0.90115021855802058</v>
      </c>
      <c r="AJ56" s="58">
        <f>AC22</f>
        <v>-1699.2970805323148</v>
      </c>
      <c r="AK56" s="58">
        <f>AD22</f>
        <v>-5882.8131085327332</v>
      </c>
      <c r="AN56" s="57">
        <v>5</v>
      </c>
      <c r="AO56" s="59">
        <f>AH22/$I$22</f>
        <v>0.89324539207944142</v>
      </c>
      <c r="AP56" s="58">
        <f>AI22</f>
        <v>-1835.1865924888825</v>
      </c>
      <c r="AQ56" s="58">
        <f>AJ22</f>
        <v>-6018.7026204893009</v>
      </c>
      <c r="AT56" s="57">
        <v>5</v>
      </c>
      <c r="AU56" s="59">
        <f>AN22/$I$22</f>
        <v>0.89324539207944142</v>
      </c>
      <c r="AV56" s="58">
        <f>AO22</f>
        <v>-1835.1865924888825</v>
      </c>
      <c r="AW56" s="58">
        <f>AP22</f>
        <v>-6018.7026204893009</v>
      </c>
      <c r="BA56" s="57">
        <v>5</v>
      </c>
      <c r="BB56" s="59">
        <f>AU22/$I$22</f>
        <v>0.90115021855802058</v>
      </c>
      <c r="BC56" s="58">
        <f>AV22</f>
        <v>-1699.2970805323148</v>
      </c>
      <c r="BD56" s="58">
        <f>AW22</f>
        <v>-5882.8131085327332</v>
      </c>
    </row>
    <row r="57" spans="3:56">
      <c r="S57">
        <v>65</v>
      </c>
      <c r="T57" s="134">
        <f>D27</f>
        <v>71</v>
      </c>
      <c r="U57" s="133">
        <f>C27</f>
        <v>2026</v>
      </c>
      <c r="V57" s="64">
        <f>O27/$I$27</f>
        <v>0.81035668725506771</v>
      </c>
      <c r="W57" s="64"/>
      <c r="X57" s="65">
        <f>Q27</f>
        <v>-3599.4155601066686</v>
      </c>
      <c r="Y57" s="65">
        <f>R27</f>
        <v>-20824.81715397293</v>
      </c>
      <c r="AB57" s="57">
        <v>10</v>
      </c>
      <c r="AC57" s="59">
        <f>V27/$I$27</f>
        <v>0.817592014819845</v>
      </c>
      <c r="AD57" s="58">
        <f>W27</f>
        <v>-3462.0895967379765</v>
      </c>
      <c r="AE57" s="58">
        <f>X27</f>
        <v>-20005.176769844424</v>
      </c>
      <c r="AH57" s="57">
        <v>10</v>
      </c>
      <c r="AI57" s="59">
        <f>AB27/$I$27</f>
        <v>0.85454848067845601</v>
      </c>
      <c r="AJ57" s="58">
        <f>AC27</f>
        <v>-2760.6587034855074</v>
      </c>
      <c r="AK57" s="58">
        <f>AD27</f>
        <v>-17502.330353823723</v>
      </c>
      <c r="AN57" s="57">
        <v>10</v>
      </c>
      <c r="AO57" s="59">
        <f>AH27/$I$27</f>
        <v>0.85474928317172394</v>
      </c>
      <c r="AP57" s="58">
        <f>AI27</f>
        <v>-2756.8474875332267</v>
      </c>
      <c r="AQ57" s="58">
        <f>AJ27</f>
        <v>-17907.839174477609</v>
      </c>
      <c r="AT57" s="57">
        <v>10</v>
      </c>
      <c r="AU57" s="59">
        <f>AN27/$I$27</f>
        <v>0.86994452847519177</v>
      </c>
      <c r="AV57" s="58">
        <f>AO27</f>
        <v>-2468.4428947569832</v>
      </c>
      <c r="AW57" s="58">
        <f>AP27</f>
        <v>-17198.081692484702</v>
      </c>
      <c r="BA57" s="57">
        <v>10</v>
      </c>
      <c r="BB57" s="59">
        <f>AU27/$I$27</f>
        <v>0.89719780531873072</v>
      </c>
      <c r="BC57" s="58">
        <f>AV27</f>
        <v>-1951.1777863032694</v>
      </c>
      <c r="BD57" s="58">
        <f>AW27</f>
        <v>-14977.904065164619</v>
      </c>
    </row>
    <row r="58" spans="3:56">
      <c r="T58" s="134">
        <f>D32</f>
        <v>76</v>
      </c>
      <c r="U58" s="133">
        <f>C32</f>
        <v>2031</v>
      </c>
      <c r="V58" s="64">
        <f>O32/$I$32</f>
        <v>0.74172356502532333</v>
      </c>
      <c r="W58" s="64"/>
      <c r="X58" s="65">
        <f>Q32</f>
        <v>-5412.2780339007895</v>
      </c>
      <c r="Y58" s="65">
        <f>R32</f>
        <v>-44182.941478651941</v>
      </c>
      <c r="AB58" s="57">
        <v>15</v>
      </c>
      <c r="AC58" s="59">
        <f>V32/$I$32</f>
        <v>0.74834609685590647</v>
      </c>
      <c r="AD58" s="58">
        <f>W32</f>
        <v>-5273.5004347791801</v>
      </c>
      <c r="AE58" s="58">
        <f>X32</f>
        <v>-42672.322476135232</v>
      </c>
      <c r="AH58" s="57">
        <v>15</v>
      </c>
      <c r="AI58" s="59">
        <f>AB32/$I$32</f>
        <v>0.82482734238462252</v>
      </c>
      <c r="AJ58" s="58">
        <f>AC32</f>
        <v>-3670.8077027805048</v>
      </c>
      <c r="AK58" s="58">
        <f>AD32</f>
        <v>-33987.672845181485</v>
      </c>
      <c r="AN58" s="57">
        <v>15</v>
      </c>
      <c r="AO58" s="59">
        <f>AH32/$I$32</f>
        <v>0.81791223728764562</v>
      </c>
      <c r="AP58" s="58">
        <f>AI32</f>
        <v>-3815.7162826985805</v>
      </c>
      <c r="AQ58" s="58">
        <f>AJ32</f>
        <v>-34810.607227334905</v>
      </c>
      <c r="AT58" s="57">
        <v>15</v>
      </c>
      <c r="AU58" s="59">
        <f>AN32/$I$32</f>
        <v>0.83981945189440932</v>
      </c>
      <c r="AV58" s="58">
        <f>AO32</f>
        <v>-3356.6425138827653</v>
      </c>
      <c r="AW58" s="58">
        <f>AP32</f>
        <v>-32152.221787809984</v>
      </c>
      <c r="BA58" s="57">
        <v>15</v>
      </c>
      <c r="BB58" s="59">
        <f>AU32/$I$32</f>
        <v>0.87769425067554763</v>
      </c>
      <c r="BC58" s="58">
        <f>AV32</f>
        <v>-2562.9621244904229</v>
      </c>
      <c r="BD58" s="58">
        <f>AW32</f>
        <v>-26532.936856038708</v>
      </c>
    </row>
    <row r="59" spans="3:56">
      <c r="T59" s="134">
        <f>D37</f>
        <v>81</v>
      </c>
      <c r="U59" s="133">
        <f>C37</f>
        <v>2036</v>
      </c>
      <c r="V59" s="64">
        <f>O37/$I$37</f>
        <v>0.67890332191546243</v>
      </c>
      <c r="W59" s="64"/>
      <c r="X59" s="65">
        <f>Q37</f>
        <v>-7429.0278573107898</v>
      </c>
      <c r="Y59" s="65">
        <f>R37</f>
        <v>-77208.905756358741</v>
      </c>
      <c r="AB59" s="57">
        <v>20</v>
      </c>
      <c r="AC59" s="59">
        <f>V37/$I$37</f>
        <v>0.6910807172782637</v>
      </c>
      <c r="AD59" s="58">
        <f>W37</f>
        <v>-7147.2865141134607</v>
      </c>
      <c r="AE59" s="58">
        <f>X37</f>
        <v>-74435.798008750135</v>
      </c>
      <c r="AH59" s="57">
        <v>20</v>
      </c>
      <c r="AI59" s="59">
        <f>AB37/$I$37</f>
        <v>0.78217253654413443</v>
      </c>
      <c r="AJ59" s="58">
        <f>AC37</f>
        <v>-5039.7478533705835</v>
      </c>
      <c r="AK59" s="58">
        <f>AD37</f>
        <v>-56373.096989509635</v>
      </c>
      <c r="AN59" s="57">
        <v>20</v>
      </c>
      <c r="AO59" s="59">
        <f>AH37/$I$37</f>
        <v>0.78266275395106688</v>
      </c>
      <c r="AP59" s="58">
        <f>AI37</f>
        <v>-5028.4059771669272</v>
      </c>
      <c r="AQ59" s="58">
        <f>AJ37</f>
        <v>-57462.178643658124</v>
      </c>
      <c r="AT59" s="57">
        <v>20</v>
      </c>
      <c r="AU59" s="59">
        <f>AN37/$I$37</f>
        <v>0.81791223728764573</v>
      </c>
      <c r="AV59" s="58">
        <f>AO37</f>
        <v>-4212.859098185163</v>
      </c>
      <c r="AW59" s="58">
        <f>AP37</f>
        <v>-51296.097531762571</v>
      </c>
      <c r="BA59" s="57">
        <v>20</v>
      </c>
      <c r="BB59" s="59">
        <f>AU37/$I$37</f>
        <v>0.83986834778112962</v>
      </c>
      <c r="BC59" s="58">
        <f>AV37</f>
        <v>-3704.8732869730593</v>
      </c>
      <c r="BD59" s="58">
        <f>AW37</f>
        <v>-42709.957798811949</v>
      </c>
    </row>
    <row r="60" spans="3:56">
      <c r="T60" s="134">
        <f>D42</f>
        <v>86</v>
      </c>
      <c r="U60" s="133">
        <f>C42</f>
        <v>2041</v>
      </c>
      <c r="V60" s="64">
        <f>O42/$I$42</f>
        <v>0.62140363639668639</v>
      </c>
      <c r="W60" s="64"/>
      <c r="X60" s="65">
        <f>Q42</f>
        <v>-9671.0464980311663</v>
      </c>
      <c r="Y60" s="65">
        <f>R42</f>
        <v>-120985.44382067208</v>
      </c>
      <c r="AB60" s="57">
        <v>25</v>
      </c>
      <c r="AC60" s="59">
        <f>V42/$I$42</f>
        <v>0.63254966782121247</v>
      </c>
      <c r="AD60" s="58">
        <f>W42</f>
        <v>-9386.326943017024</v>
      </c>
      <c r="AE60" s="58">
        <f>X42</f>
        <v>-116794.7072482603</v>
      </c>
      <c r="AH60" s="57">
        <v>25</v>
      </c>
      <c r="AI60" s="59">
        <f>AB42/$I$42</f>
        <v>0.75496862868648984</v>
      </c>
      <c r="AJ60" s="58">
        <f>AC42</f>
        <v>-6259.1984848862303</v>
      </c>
      <c r="AK60" s="58">
        <f>AD42</f>
        <v>-85168.111840073208</v>
      </c>
      <c r="AN60" s="57">
        <v>25</v>
      </c>
      <c r="AO60" s="59">
        <f>AH42/$I$42</f>
        <v>0.74893241413484457</v>
      </c>
      <c r="AP60" s="58">
        <f>AI42</f>
        <v>-6413.3904349764307</v>
      </c>
      <c r="AQ60" s="58">
        <f>AJ42</f>
        <v>-86686.296434843098</v>
      </c>
      <c r="AT60" s="57">
        <v>25</v>
      </c>
      <c r="AU60" s="59">
        <f>AN42/$I$42</f>
        <v>0.79657648604809062</v>
      </c>
      <c r="AV60" s="58">
        <f>AO42</f>
        <v>-5196.3474860078895</v>
      </c>
      <c r="AW60" s="58">
        <f>AP42</f>
        <v>-75430.584142899592</v>
      </c>
      <c r="BA60" s="57">
        <v>25</v>
      </c>
      <c r="BB60" s="59">
        <f>AU42/$I$42</f>
        <v>0.80367262410763829</v>
      </c>
      <c r="BC60" s="58">
        <f>AV42</f>
        <v>-5015.0803431405584</v>
      </c>
      <c r="BD60" s="58">
        <f>AW42</f>
        <v>-65093.723754078535</v>
      </c>
    </row>
    <row r="61" spans="3:56">
      <c r="T61" s="33">
        <f>D47</f>
        <v>91</v>
      </c>
      <c r="U61" s="133">
        <f>C47</f>
        <v>2046</v>
      </c>
      <c r="V61" s="64">
        <f>O47/$I$47</f>
        <v>0.56877388408935792</v>
      </c>
      <c r="W61" s="64"/>
      <c r="X61" s="65">
        <f>Q43</f>
        <v>-10148.518308308308</v>
      </c>
      <c r="Y61" s="65">
        <f>R47</f>
        <v>-176708.78994441827</v>
      </c>
    </row>
    <row r="62" spans="3:56" ht="30" customHeight="1">
      <c r="D62" s="604"/>
      <c r="E62" s="604"/>
      <c r="F62" s="604"/>
      <c r="G62" s="611"/>
    </row>
    <row r="63" spans="3:56" ht="48">
      <c r="C63" s="55"/>
      <c r="D63" s="98" t="s">
        <v>27</v>
      </c>
      <c r="E63" s="98" t="s">
        <v>49</v>
      </c>
      <c r="F63" s="99" t="s">
        <v>109</v>
      </c>
      <c r="G63" s="97" t="s">
        <v>147</v>
      </c>
      <c r="H63" s="97" t="s">
        <v>142</v>
      </c>
      <c r="I63" s="97" t="s">
        <v>148</v>
      </c>
      <c r="J63" s="97" t="s">
        <v>149</v>
      </c>
      <c r="K63" s="97" t="s">
        <v>150</v>
      </c>
      <c r="M63" s="370"/>
      <c r="N63" s="370"/>
      <c r="O63" s="370"/>
      <c r="P63" s="370"/>
    </row>
    <row r="64" spans="3:56">
      <c r="C64">
        <f t="shared" ref="C64:C92" si="101">C18</f>
        <v>2017</v>
      </c>
      <c r="D64" s="333">
        <f>I18/1000</f>
        <v>15.39</v>
      </c>
      <c r="E64" s="333">
        <f t="shared" ref="E64:E93" si="102">O18/1000</f>
        <v>15.041052631578946</v>
      </c>
      <c r="F64" s="456">
        <f t="shared" ref="F64:F93" si="103">R18/1000</f>
        <v>-0.34894736842105339</v>
      </c>
      <c r="G64" s="456">
        <f t="shared" ref="G64:G93" si="104">X18/1000</f>
        <v>-0.34894736842105339</v>
      </c>
      <c r="H64" s="456">
        <f t="shared" ref="H64:H93" si="105">AD18/1000</f>
        <v>-0.34894736842105339</v>
      </c>
      <c r="I64" s="456">
        <f t="shared" ref="I64:I93" si="106">AJ18/1000</f>
        <v>-0.34894736842105339</v>
      </c>
      <c r="J64" s="456">
        <f t="shared" ref="J64:J93" si="107">AP18/1000</f>
        <v>-0.34894736842105339</v>
      </c>
      <c r="K64" s="456">
        <f t="shared" ref="K64:K93" si="108">AW18/1000</f>
        <v>-0.34894736842105339</v>
      </c>
      <c r="M64" s="333"/>
      <c r="N64" s="333"/>
      <c r="O64" s="333"/>
      <c r="P64" s="333"/>
    </row>
    <row r="65" spans="3:16">
      <c r="C65">
        <f t="shared" si="101"/>
        <v>2018</v>
      </c>
      <c r="D65" s="333">
        <f t="shared" ref="D65:D93" si="109">I19/1000</f>
        <v>16.005600000000001</v>
      </c>
      <c r="E65" s="333">
        <f t="shared" si="102"/>
        <v>15.104383379501384</v>
      </c>
      <c r="F65" s="456">
        <f t="shared" si="103"/>
        <v>-1.2501639889196703</v>
      </c>
      <c r="G65" s="456">
        <f t="shared" si="104"/>
        <v>-1.2501639889196703</v>
      </c>
      <c r="H65" s="456">
        <f t="shared" si="105"/>
        <v>-1.2501639889196703</v>
      </c>
      <c r="I65" s="456">
        <f t="shared" si="106"/>
        <v>-1.2501639889196703</v>
      </c>
      <c r="J65" s="456">
        <f t="shared" si="107"/>
        <v>-1.2501639889196703</v>
      </c>
      <c r="K65" s="456">
        <f t="shared" si="108"/>
        <v>-1.2501639889196703</v>
      </c>
      <c r="M65" s="333"/>
      <c r="N65" s="333"/>
      <c r="O65" s="333"/>
      <c r="P65" s="333"/>
    </row>
    <row r="66" spans="3:16">
      <c r="C66">
        <f t="shared" si="101"/>
        <v>2019</v>
      </c>
      <c r="D66" s="333">
        <f t="shared" si="109"/>
        <v>16.412142240000001</v>
      </c>
      <c r="E66" s="333">
        <f t="shared" si="102"/>
        <v>15.144767730852893</v>
      </c>
      <c r="F66" s="456">
        <f t="shared" si="103"/>
        <v>-2.5175384980667785</v>
      </c>
      <c r="G66" s="456">
        <f t="shared" si="104"/>
        <v>-2.5175384980667785</v>
      </c>
      <c r="H66" s="456">
        <f t="shared" si="105"/>
        <v>-2.5175384980667785</v>
      </c>
      <c r="I66" s="456">
        <f t="shared" si="106"/>
        <v>-2.5175384980667785</v>
      </c>
      <c r="J66" s="456">
        <f t="shared" si="107"/>
        <v>-2.5175384980667785</v>
      </c>
      <c r="K66" s="456">
        <f t="shared" si="108"/>
        <v>-2.5175384980667785</v>
      </c>
      <c r="M66" s="333"/>
      <c r="N66" s="333"/>
      <c r="O66" s="333"/>
      <c r="P66" s="333"/>
    </row>
    <row r="67" spans="3:16">
      <c r="C67">
        <f t="shared" si="101"/>
        <v>2020</v>
      </c>
      <c r="D67" s="333">
        <f t="shared" si="109"/>
        <v>16.853628866255999</v>
      </c>
      <c r="E67" s="333">
        <f t="shared" si="102"/>
        <v>15.187651336322361</v>
      </c>
      <c r="F67" s="456">
        <f t="shared" si="103"/>
        <v>-4.183516028000418</v>
      </c>
      <c r="G67" s="456">
        <f t="shared" si="104"/>
        <v>-4.183516028000418</v>
      </c>
      <c r="H67" s="456">
        <f t="shared" si="105"/>
        <v>-4.183516028000418</v>
      </c>
      <c r="I67" s="456">
        <f t="shared" si="106"/>
        <v>-4.183516028000418</v>
      </c>
      <c r="J67" s="456">
        <f t="shared" si="107"/>
        <v>-4.183516028000418</v>
      </c>
      <c r="K67" s="456">
        <f t="shared" si="108"/>
        <v>-4.183516028000418</v>
      </c>
      <c r="M67" s="333"/>
      <c r="N67" s="333"/>
      <c r="O67" s="333"/>
      <c r="P67" s="333"/>
    </row>
    <row r="68" spans="3:16">
      <c r="C68">
        <f t="shared" si="101"/>
        <v>2021</v>
      </c>
      <c r="D68" s="333">
        <f t="shared" si="109"/>
        <v>17.190701443581123</v>
      </c>
      <c r="E68" s="333">
        <f t="shared" si="102"/>
        <v>15.219625339135671</v>
      </c>
      <c r="F68" s="456">
        <f t="shared" si="103"/>
        <v>-6.1545921324458686</v>
      </c>
      <c r="G68" s="456">
        <f t="shared" si="104"/>
        <v>-6.018702620489301</v>
      </c>
      <c r="H68" s="456">
        <f t="shared" si="105"/>
        <v>-5.8828131085327335</v>
      </c>
      <c r="I68" s="456">
        <f t="shared" si="106"/>
        <v>-6.018702620489301</v>
      </c>
      <c r="J68" s="456">
        <f t="shared" si="107"/>
        <v>-6.018702620489301</v>
      </c>
      <c r="K68" s="456">
        <f t="shared" si="108"/>
        <v>-5.8828131085327335</v>
      </c>
      <c r="M68" s="333"/>
      <c r="N68" s="333"/>
      <c r="O68" s="333"/>
      <c r="P68" s="333"/>
    </row>
    <row r="69" spans="3:16">
      <c r="C69">
        <f t="shared" si="101"/>
        <v>2022</v>
      </c>
      <c r="D69" s="333">
        <f t="shared" si="109"/>
        <v>17.534515472452746</v>
      </c>
      <c r="E69" s="333">
        <f t="shared" si="102"/>
        <v>15.251666655639115</v>
      </c>
      <c r="F69" s="456">
        <f t="shared" si="103"/>
        <v>-8.4374409492594982</v>
      </c>
      <c r="G69" s="456">
        <f t="shared" si="104"/>
        <v>-8.1653758421632983</v>
      </c>
      <c r="H69" s="456">
        <f t="shared" si="105"/>
        <v>-7.8933107350670966</v>
      </c>
      <c r="I69" s="456">
        <f t="shared" si="106"/>
        <v>-8.027984393495629</v>
      </c>
      <c r="J69" s="456">
        <f t="shared" si="107"/>
        <v>-8.027984393495629</v>
      </c>
      <c r="K69" s="456">
        <f t="shared" si="108"/>
        <v>-7.6160961306756967</v>
      </c>
      <c r="M69" s="333"/>
      <c r="N69" s="333"/>
      <c r="O69" s="333"/>
      <c r="P69" s="333"/>
    </row>
    <row r="70" spans="3:16">
      <c r="C70">
        <f t="shared" si="101"/>
        <v>2023</v>
      </c>
      <c r="D70" s="333">
        <f t="shared" si="109"/>
        <v>17.885205781901799</v>
      </c>
      <c r="E70" s="333">
        <f t="shared" si="102"/>
        <v>15.283775427545725</v>
      </c>
      <c r="F70" s="456">
        <f t="shared" si="103"/>
        <v>-11.038871303615576</v>
      </c>
      <c r="G70" s="456">
        <f t="shared" si="104"/>
        <v>-10.630343915916288</v>
      </c>
      <c r="H70" s="456">
        <f t="shared" si="105"/>
        <v>-9.9440183141321477</v>
      </c>
      <c r="I70" s="456">
        <f t="shared" si="106"/>
        <v>-10.216361787693975</v>
      </c>
      <c r="J70" s="456">
        <f t="shared" si="107"/>
        <v>-10.077451801962086</v>
      </c>
      <c r="K70" s="456">
        <f t="shared" si="108"/>
        <v>-9.384044813261518</v>
      </c>
      <c r="M70" s="333"/>
      <c r="N70" s="333"/>
      <c r="O70" s="333"/>
      <c r="P70" s="333"/>
    </row>
    <row r="71" spans="3:16">
      <c r="C71">
        <f t="shared" si="101"/>
        <v>2024</v>
      </c>
      <c r="D71" s="333">
        <f t="shared" si="109"/>
        <v>18.242909897539839</v>
      </c>
      <c r="E71" s="333">
        <f t="shared" si="102"/>
        <v>15.315951796866873</v>
      </c>
      <c r="F71" s="456">
        <f t="shared" si="103"/>
        <v>-13.96582940428854</v>
      </c>
      <c r="G71" s="456">
        <f t="shared" si="104"/>
        <v>-13.420552446974371</v>
      </c>
      <c r="H71" s="456">
        <f t="shared" si="105"/>
        <v>-12.319094223145052</v>
      </c>
      <c r="I71" s="456">
        <f t="shared" si="106"/>
        <v>-12.588952036403109</v>
      </c>
      <c r="J71" s="456">
        <f t="shared" si="107"/>
        <v>-12.3095967440444</v>
      </c>
      <c r="K71" s="456">
        <f t="shared" si="108"/>
        <v>-11.187352469499057</v>
      </c>
      <c r="M71" s="333"/>
      <c r="N71" s="333"/>
      <c r="O71" s="333"/>
      <c r="P71" s="333"/>
    </row>
    <row r="72" spans="3:16">
      <c r="C72">
        <f t="shared" si="101"/>
        <v>2025</v>
      </c>
      <c r="D72" s="333">
        <f t="shared" si="109"/>
        <v>18.607768095490634</v>
      </c>
      <c r="E72" s="333">
        <f t="shared" si="102"/>
        <v>15.34819590591291</v>
      </c>
      <c r="F72" s="456">
        <f t="shared" si="103"/>
        <v>-17.225401593866263</v>
      </c>
      <c r="G72" s="456">
        <f t="shared" si="104"/>
        <v>-16.543087173106446</v>
      </c>
      <c r="H72" s="456">
        <f t="shared" si="105"/>
        <v>-14.741671650338215</v>
      </c>
      <c r="I72" s="456">
        <f t="shared" si="106"/>
        <v>-15.150991686944383</v>
      </c>
      <c r="J72" s="456">
        <f t="shared" si="107"/>
        <v>-14.72963879772772</v>
      </c>
      <c r="K72" s="456">
        <f t="shared" si="108"/>
        <v>-13.02672627886135</v>
      </c>
      <c r="M72" s="333"/>
      <c r="N72" s="333"/>
      <c r="O72" s="333"/>
      <c r="P72" s="333"/>
    </row>
    <row r="73" spans="3:16">
      <c r="C73">
        <f t="shared" si="101"/>
        <v>2026</v>
      </c>
      <c r="D73" s="333">
        <f t="shared" si="109"/>
        <v>18.979923457400449</v>
      </c>
      <c r="E73" s="333">
        <f t="shared" si="102"/>
        <v>15.380507897293779</v>
      </c>
      <c r="F73" s="456">
        <f t="shared" si="103"/>
        <v>-20.82481715397293</v>
      </c>
      <c r="G73" s="456">
        <f t="shared" si="104"/>
        <v>-20.005176769844425</v>
      </c>
      <c r="H73" s="456">
        <f t="shared" si="105"/>
        <v>-17.502330353823723</v>
      </c>
      <c r="I73" s="456">
        <f t="shared" si="106"/>
        <v>-17.907839174477608</v>
      </c>
      <c r="J73" s="456">
        <f t="shared" si="107"/>
        <v>-17.198081692484703</v>
      </c>
      <c r="K73" s="456">
        <f t="shared" si="108"/>
        <v>-14.977904065164619</v>
      </c>
      <c r="M73" s="333"/>
      <c r="N73" s="333"/>
      <c r="O73" s="333"/>
      <c r="P73" s="333"/>
    </row>
    <row r="74" spans="3:16">
      <c r="C74">
        <f t="shared" si="101"/>
        <v>2027</v>
      </c>
      <c r="D74" s="333">
        <f t="shared" si="109"/>
        <v>19.359521926548457</v>
      </c>
      <c r="E74" s="333">
        <f t="shared" si="102"/>
        <v>15.412887913919661</v>
      </c>
      <c r="F74" s="456">
        <f t="shared" si="103"/>
        <v>-24.771451166601725</v>
      </c>
      <c r="G74" s="456">
        <f t="shared" si="104"/>
        <v>-23.814195711813227</v>
      </c>
      <c r="H74" s="456">
        <f t="shared" si="105"/>
        <v>-20.318202231378937</v>
      </c>
      <c r="I74" s="456">
        <f t="shared" si="106"/>
        <v>-20.864977449386629</v>
      </c>
      <c r="J74" s="456">
        <f t="shared" si="107"/>
        <v>-19.863627744907845</v>
      </c>
      <c r="K74" s="456">
        <f t="shared" si="108"/>
        <v>-17.044286637827813</v>
      </c>
      <c r="M74" s="333"/>
      <c r="N74" s="333"/>
      <c r="O74" s="333"/>
      <c r="P74" s="333"/>
    </row>
    <row r="75" spans="3:16">
      <c r="C75">
        <f t="shared" si="101"/>
        <v>2028</v>
      </c>
      <c r="D75" s="333">
        <f t="shared" si="109"/>
        <v>19.746712365079425</v>
      </c>
      <c r="E75" s="333">
        <f t="shared" si="102"/>
        <v>15.445336099001597</v>
      </c>
      <c r="F75" s="456">
        <f t="shared" si="103"/>
        <v>-29.072827432679549</v>
      </c>
      <c r="G75" s="456">
        <f t="shared" si="104"/>
        <v>-27.977667191292827</v>
      </c>
      <c r="H75" s="456">
        <f t="shared" si="105"/>
        <v>-23.486435810519872</v>
      </c>
      <c r="I75" s="456">
        <f t="shared" si="106"/>
        <v>-24.028016659308495</v>
      </c>
      <c r="J75" s="456">
        <f t="shared" si="107"/>
        <v>-22.731851870937412</v>
      </c>
      <c r="K75" s="456">
        <f t="shared" si="108"/>
        <v>-19.229360906422176</v>
      </c>
      <c r="M75" s="333"/>
      <c r="N75" s="333"/>
      <c r="O75" s="333"/>
      <c r="P75" s="333"/>
    </row>
    <row r="76" spans="3:16">
      <c r="C76">
        <f t="shared" si="101"/>
        <v>2029</v>
      </c>
      <c r="D76" s="333">
        <f t="shared" si="109"/>
        <v>20.141646612381013</v>
      </c>
      <c r="E76" s="333">
        <f t="shared" si="102"/>
        <v>15.477852596052127</v>
      </c>
      <c r="F76" s="456">
        <f t="shared" si="103"/>
        <v>-33.736621449008439</v>
      </c>
      <c r="G76" s="456">
        <f t="shared" si="104"/>
        <v>-32.503266095156967</v>
      </c>
      <c r="H76" s="456">
        <f t="shared" si="105"/>
        <v>-26.718034061243628</v>
      </c>
      <c r="I76" s="456">
        <f t="shared" si="106"/>
        <v>-27.402696886922314</v>
      </c>
      <c r="J76" s="456">
        <f t="shared" si="107"/>
        <v>-25.657440479487569</v>
      </c>
      <c r="K76" s="456">
        <f t="shared" si="108"/>
        <v>-21.536701883451649</v>
      </c>
      <c r="M76" s="333"/>
      <c r="N76" s="333"/>
      <c r="O76" s="333"/>
      <c r="P76" s="333"/>
    </row>
    <row r="77" spans="3:16">
      <c r="C77">
        <f t="shared" si="101"/>
        <v>2030</v>
      </c>
      <c r="D77" s="333">
        <f t="shared" si="109"/>
        <v>20.544479544628633</v>
      </c>
      <c r="E77" s="333">
        <f t="shared" si="102"/>
        <v>15.510437548885921</v>
      </c>
      <c r="F77" s="456">
        <f t="shared" si="103"/>
        <v>-38.77066344475115</v>
      </c>
      <c r="G77" s="456">
        <f t="shared" si="104"/>
        <v>-37.398822041356055</v>
      </c>
      <c r="H77" s="456">
        <f t="shared" si="105"/>
        <v>-30.316865142400985</v>
      </c>
      <c r="I77" s="456">
        <f t="shared" si="106"/>
        <v>-30.994890944636325</v>
      </c>
      <c r="J77" s="456">
        <f t="shared" si="107"/>
        <v>-28.795579273927217</v>
      </c>
      <c r="K77" s="456">
        <f t="shared" si="108"/>
        <v>-23.969974731548284</v>
      </c>
      <c r="M77" s="333"/>
      <c r="N77" s="333"/>
      <c r="O77" s="333"/>
      <c r="P77" s="333"/>
    </row>
    <row r="78" spans="3:16">
      <c r="C78">
        <f t="shared" si="101"/>
        <v>2031</v>
      </c>
      <c r="D78" s="333">
        <f t="shared" si="109"/>
        <v>20.955369135521206</v>
      </c>
      <c r="E78" s="333">
        <f t="shared" si="102"/>
        <v>15.543091101620417</v>
      </c>
      <c r="F78" s="456">
        <f t="shared" si="103"/>
        <v>-44.182941478651941</v>
      </c>
      <c r="G78" s="456">
        <f t="shared" si="104"/>
        <v>-42.672322476135236</v>
      </c>
      <c r="H78" s="456">
        <f t="shared" si="105"/>
        <v>-33.987672845181486</v>
      </c>
      <c r="I78" s="456">
        <f t="shared" si="106"/>
        <v>-34.810607227334906</v>
      </c>
      <c r="J78" s="456">
        <f t="shared" si="107"/>
        <v>-32.152221787809985</v>
      </c>
      <c r="K78" s="456">
        <f t="shared" si="108"/>
        <v>-26.53293685603871</v>
      </c>
      <c r="M78" s="333"/>
      <c r="N78" s="333"/>
      <c r="O78" s="333"/>
      <c r="P78" s="333"/>
    </row>
    <row r="79" spans="3:16">
      <c r="C79">
        <f t="shared" si="101"/>
        <v>2032</v>
      </c>
      <c r="D79" s="333">
        <f t="shared" si="109"/>
        <v>21.374476518231628</v>
      </c>
      <c r="E79" s="333">
        <f t="shared" si="102"/>
        <v>15.575813398676461</v>
      </c>
      <c r="F79" s="456">
        <f t="shared" si="103"/>
        <v>-49.981604598207106</v>
      </c>
      <c r="G79" s="456">
        <f t="shared" si="104"/>
        <v>-48.331915833202217</v>
      </c>
      <c r="H79" s="456">
        <f t="shared" si="105"/>
        <v>-38.041199380287694</v>
      </c>
      <c r="I79" s="456">
        <f t="shared" si="106"/>
        <v>-38.855992624370607</v>
      </c>
      <c r="J79" s="456">
        <f t="shared" si="107"/>
        <v>-35.575997151970398</v>
      </c>
      <c r="K79" s="456">
        <f t="shared" si="108"/>
        <v>-29.31172186469658</v>
      </c>
      <c r="M79" s="333"/>
      <c r="N79" s="333"/>
      <c r="O79" s="333"/>
      <c r="P79" s="333"/>
    </row>
    <row r="80" spans="3:16">
      <c r="C80">
        <f t="shared" si="101"/>
        <v>2033</v>
      </c>
      <c r="D80" s="333">
        <f t="shared" si="109"/>
        <v>21.801966048596263</v>
      </c>
      <c r="E80" s="333">
        <f t="shared" si="102"/>
        <v>15.608604584778938</v>
      </c>
      <c r="F80" s="456">
        <f t="shared" si="103"/>
        <v>-56.174966062024431</v>
      </c>
      <c r="G80" s="456">
        <f t="shared" si="104"/>
        <v>-54.245307906747286</v>
      </c>
      <c r="H80" s="456">
        <f t="shared" si="105"/>
        <v>-42.175796446096037</v>
      </c>
      <c r="I80" s="456">
        <f t="shared" si="106"/>
        <v>-43.137335492010358</v>
      </c>
      <c r="J80" s="456">
        <f t="shared" si="107"/>
        <v>-39.228859560055717</v>
      </c>
      <c r="K80" s="456">
        <f t="shared" si="108"/>
        <v>-32.312465076508005</v>
      </c>
      <c r="M80" s="333"/>
      <c r="N80" s="333"/>
      <c r="O80" s="333"/>
      <c r="P80" s="333"/>
    </row>
    <row r="81" spans="2:16">
      <c r="C81">
        <f t="shared" si="101"/>
        <v>2034</v>
      </c>
      <c r="D81" s="333">
        <f t="shared" si="109"/>
        <v>22.238005369568189</v>
      </c>
      <c r="E81" s="333">
        <f t="shared" si="102"/>
        <v>15.641464804957419</v>
      </c>
      <c r="F81" s="456">
        <f t="shared" si="103"/>
        <v>-62.771506626635201</v>
      </c>
      <c r="G81" s="456">
        <f t="shared" si="104"/>
        <v>-60.561289671843113</v>
      </c>
      <c r="H81" s="456">
        <f t="shared" si="105"/>
        <v>-46.709238371859904</v>
      </c>
      <c r="I81" s="456">
        <f t="shared" si="106"/>
        <v>-47.661068687569355</v>
      </c>
      <c r="J81" s="456">
        <f t="shared" si="107"/>
        <v>-43.117165933086262</v>
      </c>
      <c r="K81" s="456">
        <f t="shared" si="108"/>
        <v>-35.541444620042689</v>
      </c>
      <c r="M81" s="333"/>
      <c r="N81" s="333"/>
      <c r="O81" s="333"/>
      <c r="P81" s="333"/>
    </row>
    <row r="82" spans="2:16">
      <c r="C82">
        <f t="shared" si="101"/>
        <v>2035</v>
      </c>
      <c r="D82" s="333">
        <f t="shared" si="109"/>
        <v>22.682765476959553</v>
      </c>
      <c r="E82" s="333">
        <f t="shared" si="102"/>
        <v>15.674394204546802</v>
      </c>
      <c r="F82" s="456">
        <f t="shared" si="103"/>
        <v>-69.779877899047946</v>
      </c>
      <c r="G82" s="456">
        <f t="shared" si="104"/>
        <v>-67.28851149463668</v>
      </c>
      <c r="H82" s="456">
        <f t="shared" si="105"/>
        <v>-51.333349136139049</v>
      </c>
      <c r="I82" s="456">
        <f t="shared" si="106"/>
        <v>-52.433772666491194</v>
      </c>
      <c r="J82" s="456">
        <f t="shared" si="107"/>
        <v>-47.083238433577414</v>
      </c>
      <c r="K82" s="456">
        <f t="shared" si="108"/>
        <v>-39.005084511838888</v>
      </c>
      <c r="M82" s="333"/>
      <c r="N82" s="333"/>
      <c r="O82" s="333"/>
      <c r="P82" s="333"/>
    </row>
    <row r="83" spans="2:16">
      <c r="C83">
        <f t="shared" si="101"/>
        <v>2036</v>
      </c>
      <c r="D83" s="333">
        <f t="shared" si="109"/>
        <v>23.136420786498743</v>
      </c>
      <c r="E83" s="333">
        <f t="shared" si="102"/>
        <v>15.707392929187954</v>
      </c>
      <c r="F83" s="456">
        <f t="shared" si="103"/>
        <v>-77.208905756358746</v>
      </c>
      <c r="G83" s="456">
        <f t="shared" si="104"/>
        <v>-74.43579800875014</v>
      </c>
      <c r="H83" s="456">
        <f t="shared" si="105"/>
        <v>-56.373096989509634</v>
      </c>
      <c r="I83" s="456">
        <f t="shared" si="106"/>
        <v>-57.462178643658127</v>
      </c>
      <c r="J83" s="456">
        <f t="shared" si="107"/>
        <v>-51.29609753176257</v>
      </c>
      <c r="K83" s="456">
        <f t="shared" si="108"/>
        <v>-42.709957798811949</v>
      </c>
      <c r="M83" s="333"/>
      <c r="N83" s="333"/>
      <c r="O83" s="333"/>
      <c r="P83" s="333"/>
    </row>
    <row r="84" spans="2:16">
      <c r="C84">
        <f t="shared" si="101"/>
        <v>2037</v>
      </c>
      <c r="D84" s="333">
        <f t="shared" si="109"/>
        <v>23.59914920222872</v>
      </c>
      <c r="E84" s="333">
        <f t="shared" si="102"/>
        <v>15.740461124828348</v>
      </c>
      <c r="F84" s="456">
        <f t="shared" si="103"/>
        <v>-85.067593833759105</v>
      </c>
      <c r="G84" s="456">
        <f t="shared" si="104"/>
        <v>-82.012151603283286</v>
      </c>
      <c r="H84" s="456">
        <f t="shared" si="105"/>
        <v>-61.513639799947633</v>
      </c>
      <c r="I84" s="456">
        <f t="shared" si="106"/>
        <v>-62.753171820241363</v>
      </c>
      <c r="J84" s="456">
        <f t="shared" si="107"/>
        <v>-55.762529890175294</v>
      </c>
      <c r="K84" s="456">
        <f t="shared" si="108"/>
        <v>-46.662789765993914</v>
      </c>
      <c r="M84" s="333"/>
      <c r="N84" s="333"/>
      <c r="O84" s="333"/>
      <c r="P84" s="333"/>
    </row>
    <row r="85" spans="2:16">
      <c r="C85">
        <f t="shared" si="101"/>
        <v>2038</v>
      </c>
      <c r="D85" s="333">
        <f t="shared" si="109"/>
        <v>24.071132186273296</v>
      </c>
      <c r="E85" s="333">
        <f t="shared" si="102"/>
        <v>15.773598937722726</v>
      </c>
      <c r="F85" s="456">
        <f t="shared" si="103"/>
        <v>-93.36512708230967</v>
      </c>
      <c r="G85" s="456">
        <f t="shared" si="104"/>
        <v>-90.026755980581655</v>
      </c>
      <c r="H85" s="456">
        <f t="shared" si="105"/>
        <v>-67.087305370447481</v>
      </c>
      <c r="I85" s="456">
        <f t="shared" si="106"/>
        <v>-68.313794677427822</v>
      </c>
      <c r="J85" s="456">
        <f t="shared" si="107"/>
        <v>-60.318290895756277</v>
      </c>
      <c r="K85" s="456">
        <f t="shared" si="108"/>
        <v>-50.870461210938352</v>
      </c>
      <c r="M85" s="333"/>
      <c r="N85" s="333"/>
      <c r="O85" s="333"/>
      <c r="P85" s="333"/>
    </row>
    <row r="86" spans="2:16">
      <c r="C86">
        <f t="shared" si="101"/>
        <v>2039</v>
      </c>
      <c r="D86" s="333">
        <f t="shared" si="109"/>
        <v>24.552554829998762</v>
      </c>
      <c r="E86" s="333">
        <f t="shared" si="102"/>
        <v>15.80680651443372</v>
      </c>
      <c r="F86" s="456">
        <f t="shared" si="103"/>
        <v>-102.11087539787471</v>
      </c>
      <c r="G86" s="456">
        <f t="shared" si="104"/>
        <v>-98.48897978516554</v>
      </c>
      <c r="H86" s="456">
        <f t="shared" si="105"/>
        <v>-72.772444252357332</v>
      </c>
      <c r="I86" s="456">
        <f t="shared" si="106"/>
        <v>-74.151250338386689</v>
      </c>
      <c r="J86" s="456">
        <f t="shared" si="107"/>
        <v>-65.139778337276113</v>
      </c>
      <c r="K86" s="456">
        <f t="shared" si="108"/>
        <v>-55.340011786151464</v>
      </c>
      <c r="M86" s="333"/>
      <c r="N86" s="333"/>
      <c r="O86" s="333"/>
      <c r="P86" s="333"/>
    </row>
    <row r="87" spans="2:16">
      <c r="C87">
        <f t="shared" si="101"/>
        <v>2040</v>
      </c>
      <c r="D87" s="333">
        <f t="shared" si="109"/>
        <v>25.043605926598737</v>
      </c>
      <c r="E87" s="333">
        <f t="shared" si="102"/>
        <v>15.840084001832526</v>
      </c>
      <c r="F87" s="456">
        <f t="shared" si="103"/>
        <v>-111.31439732264091</v>
      </c>
      <c r="G87" s="456">
        <f t="shared" si="104"/>
        <v>-107.40838030524328</v>
      </c>
      <c r="H87" s="456">
        <f t="shared" si="105"/>
        <v>-78.908913355186968</v>
      </c>
      <c r="I87" s="456">
        <f t="shared" si="106"/>
        <v>-80.272905999866666</v>
      </c>
      <c r="J87" s="456">
        <f t="shared" si="107"/>
        <v>-70.23423665689171</v>
      </c>
      <c r="K87" s="456">
        <f t="shared" si="108"/>
        <v>-60.078643410937978</v>
      </c>
      <c r="M87" s="333"/>
      <c r="N87" s="333"/>
      <c r="O87" s="333"/>
      <c r="P87" s="333"/>
    </row>
    <row r="88" spans="2:16">
      <c r="C88">
        <f t="shared" si="101"/>
        <v>2041</v>
      </c>
      <c r="D88" s="333">
        <f t="shared" si="109"/>
        <v>25.54447804513071</v>
      </c>
      <c r="E88" s="333">
        <f t="shared" si="102"/>
        <v>15.873431547099543</v>
      </c>
      <c r="F88" s="456">
        <f t="shared" si="103"/>
        <v>-120.98544382067207</v>
      </c>
      <c r="G88" s="456">
        <f t="shared" si="104"/>
        <v>-116.79470724826029</v>
      </c>
      <c r="H88" s="456">
        <f t="shared" si="105"/>
        <v>-85.168111840073209</v>
      </c>
      <c r="I88" s="456">
        <f t="shared" si="106"/>
        <v>-86.686296434843101</v>
      </c>
      <c r="J88" s="456">
        <f t="shared" si="107"/>
        <v>-75.43058414289959</v>
      </c>
      <c r="K88" s="456">
        <f t="shared" si="108"/>
        <v>-65.093723754078539</v>
      </c>
      <c r="M88" s="333"/>
      <c r="N88" s="333"/>
      <c r="O88" s="333"/>
      <c r="P88" s="333"/>
    </row>
    <row r="89" spans="2:16">
      <c r="C89">
        <f t="shared" si="101"/>
        <v>2042</v>
      </c>
      <c r="D89" s="333">
        <f t="shared" si="109"/>
        <v>26.055367606033325</v>
      </c>
      <c r="E89" s="333">
        <f t="shared" si="102"/>
        <v>15.906849297725016</v>
      </c>
      <c r="F89" s="456">
        <f t="shared" si="103"/>
        <v>-131.13396212898039</v>
      </c>
      <c r="G89" s="456">
        <f t="shared" si="104"/>
        <v>-126.65790659196496</v>
      </c>
      <c r="H89" s="456">
        <f t="shared" si="105"/>
        <v>-91.897599297314173</v>
      </c>
      <c r="I89" s="456">
        <f t="shared" si="106"/>
        <v>-93.399127567662532</v>
      </c>
      <c r="J89" s="456">
        <f t="shared" si="107"/>
        <v>-80.912920799419794</v>
      </c>
      <c r="K89" s="456">
        <f t="shared" si="108"/>
        <v>-70.392789788783915</v>
      </c>
      <c r="M89" s="333"/>
      <c r="N89" s="333"/>
      <c r="O89" s="333"/>
      <c r="P89" s="333"/>
    </row>
    <row r="90" spans="2:16">
      <c r="C90">
        <f t="shared" si="101"/>
        <v>2043</v>
      </c>
      <c r="D90" s="333">
        <f t="shared" si="109"/>
        <v>26.576474958153991</v>
      </c>
      <c r="E90" s="333">
        <f t="shared" si="102"/>
        <v>15.9403374015097</v>
      </c>
      <c r="F90" s="456">
        <f t="shared" si="103"/>
        <v>-141.77009968562467</v>
      </c>
      <c r="G90" s="456">
        <f t="shared" si="104"/>
        <v>-137.00812451250118</v>
      </c>
      <c r="H90" s="456">
        <f t="shared" si="105"/>
        <v>-98.761676503699945</v>
      </c>
      <c r="I90" s="456">
        <f t="shared" si="106"/>
        <v>-100.41928012316187</v>
      </c>
      <c r="J90" s="456">
        <f t="shared" si="107"/>
        <v>-86.688978676513415</v>
      </c>
      <c r="K90" s="456">
        <f t="shared" si="108"/>
        <v>-75.983551421400563</v>
      </c>
      <c r="M90" s="333"/>
      <c r="N90" s="333"/>
      <c r="O90" s="333"/>
      <c r="P90" s="333"/>
    </row>
    <row r="91" spans="2:16">
      <c r="C91">
        <f t="shared" si="101"/>
        <v>2044</v>
      </c>
      <c r="D91" s="333">
        <f t="shared" si="109"/>
        <v>27.108004457317072</v>
      </c>
      <c r="E91" s="333">
        <f t="shared" si="102"/>
        <v>15.973896006565511</v>
      </c>
      <c r="F91" s="456">
        <f t="shared" si="103"/>
        <v>-152.90420813637621</v>
      </c>
      <c r="G91" s="456">
        <f t="shared" si="104"/>
        <v>-147.85571139106864</v>
      </c>
      <c r="H91" s="456">
        <f t="shared" si="105"/>
        <v>-106.11578342450824</v>
      </c>
      <c r="I91" s="456">
        <f t="shared" si="106"/>
        <v>-107.75481335126862</v>
      </c>
      <c r="J91" s="456">
        <f t="shared" si="107"/>
        <v>-92.580557711148913</v>
      </c>
      <c r="K91" s="456">
        <f t="shared" si="108"/>
        <v>-81.873895195371716</v>
      </c>
      <c r="M91" s="333"/>
      <c r="N91" s="333"/>
      <c r="O91" s="333"/>
      <c r="P91" s="333"/>
    </row>
    <row r="92" spans="2:16">
      <c r="C92">
        <f t="shared" si="101"/>
        <v>2045</v>
      </c>
      <c r="D92" s="333">
        <f t="shared" si="109"/>
        <v>27.650164546463412</v>
      </c>
      <c r="E92" s="333">
        <f t="shared" si="102"/>
        <v>16.007525261316175</v>
      </c>
      <c r="F92" s="456">
        <f t="shared" si="103"/>
        <v>-164.54684742152347</v>
      </c>
      <c r="G92" s="456">
        <f t="shared" si="104"/>
        <v>-159.21122590072193</v>
      </c>
      <c r="H92" s="456">
        <f t="shared" si="105"/>
        <v>-113.6169724837327</v>
      </c>
      <c r="I92" s="456">
        <f t="shared" si="106"/>
        <v>-115.41396882861991</v>
      </c>
      <c r="J92" s="456">
        <f t="shared" si="107"/>
        <v>-98.779799501311629</v>
      </c>
      <c r="K92" s="456">
        <f t="shared" si="108"/>
        <v>-88.071888071989079</v>
      </c>
      <c r="M92" s="333"/>
      <c r="N92" s="333"/>
      <c r="O92" s="333"/>
      <c r="P92" s="333"/>
    </row>
    <row r="93" spans="2:16">
      <c r="C93">
        <f t="shared" ref="C93" si="110">C47</f>
        <v>2046</v>
      </c>
      <c r="D93" s="333">
        <f t="shared" si="109"/>
        <v>28.20316783739268</v>
      </c>
      <c r="E93" s="333">
        <f t="shared" si="102"/>
        <v>16.04122531449789</v>
      </c>
      <c r="F93" s="456">
        <f t="shared" si="103"/>
        <v>-176.70878994441827</v>
      </c>
      <c r="G93" s="456">
        <f t="shared" si="104"/>
        <v>-170.93964493773976</v>
      </c>
      <c r="H93" s="456">
        <f t="shared" si="105"/>
        <v>-121.62874593812381</v>
      </c>
      <c r="I93" s="456">
        <f t="shared" si="106"/>
        <v>-123.40517433876818</v>
      </c>
      <c r="J93" s="456">
        <f t="shared" si="107"/>
        <v>-105.29495543614978</v>
      </c>
      <c r="K93" s="456">
        <f t="shared" si="108"/>
        <v>-94.681751531181447</v>
      </c>
      <c r="M93" s="333"/>
      <c r="N93" s="333"/>
      <c r="O93" s="333"/>
      <c r="P93" s="333"/>
    </row>
    <row r="96" spans="2:16">
      <c r="B96">
        <v>1</v>
      </c>
      <c r="C96">
        <f>B96+1</f>
        <v>2</v>
      </c>
      <c r="D96">
        <f t="shared" ref="D96:I96" si="111">C96+1</f>
        <v>3</v>
      </c>
      <c r="E96">
        <f t="shared" si="111"/>
        <v>4</v>
      </c>
      <c r="F96">
        <f t="shared" si="111"/>
        <v>5</v>
      </c>
      <c r="G96">
        <f t="shared" si="111"/>
        <v>6</v>
      </c>
      <c r="H96">
        <f t="shared" si="111"/>
        <v>7</v>
      </c>
      <c r="I96">
        <f t="shared" si="111"/>
        <v>8</v>
      </c>
      <c r="J96">
        <v>9</v>
      </c>
      <c r="K96">
        <v>10</v>
      </c>
      <c r="L96">
        <v>11</v>
      </c>
      <c r="M96">
        <v>12</v>
      </c>
    </row>
    <row r="97" spans="2:16" ht="65" customHeight="1">
      <c r="B97" t="s">
        <v>46</v>
      </c>
      <c r="C97" s="36"/>
      <c r="D97" s="97" t="s">
        <v>63</v>
      </c>
      <c r="E97" s="97" t="s">
        <v>170</v>
      </c>
      <c r="F97" s="307" t="s">
        <v>143</v>
      </c>
      <c r="G97" s="307" t="s">
        <v>144</v>
      </c>
      <c r="H97" s="307" t="s">
        <v>145</v>
      </c>
      <c r="I97" s="307" t="s">
        <v>146</v>
      </c>
      <c r="J97" s="97" t="s">
        <v>45</v>
      </c>
      <c r="K97" s="97" t="s">
        <v>93</v>
      </c>
      <c r="L97" s="97" t="s">
        <v>125</v>
      </c>
      <c r="M97" s="97" t="s">
        <v>124</v>
      </c>
      <c r="N97" s="97" t="s">
        <v>243</v>
      </c>
      <c r="O97" s="97"/>
      <c r="P97" s="97"/>
    </row>
    <row r="98" spans="2:16">
      <c r="B98">
        <f>D18</f>
        <v>62</v>
      </c>
      <c r="C98" s="68">
        <f>C64</f>
        <v>2017</v>
      </c>
      <c r="D98" s="332">
        <f t="shared" ref="D98:D127" si="112">O18+Q18</f>
        <v>14692.105263157893</v>
      </c>
      <c r="E98" s="332"/>
      <c r="F98" s="332"/>
      <c r="G98" s="332"/>
      <c r="H98" s="332"/>
      <c r="I98" s="332"/>
      <c r="J98" s="332">
        <f t="shared" ref="J98:J127" si="113">I18</f>
        <v>15390</v>
      </c>
      <c r="K98" s="332">
        <f t="shared" ref="K98:K127" si="114">O18</f>
        <v>15041.052631578947</v>
      </c>
      <c r="L98" s="332">
        <f>K98</f>
        <v>15041.052631578947</v>
      </c>
      <c r="M98" s="332">
        <f>J98</f>
        <v>15390</v>
      </c>
      <c r="N98" s="18">
        <f>D98/K98</f>
        <v>0.97680033592273774</v>
      </c>
      <c r="O98" s="332"/>
      <c r="P98" s="332"/>
    </row>
    <row r="99" spans="2:16">
      <c r="B99">
        <f t="shared" ref="B99:B127" si="115">D19</f>
        <v>63</v>
      </c>
      <c r="C99" s="36">
        <f t="shared" ref="C99:C127" si="116">C65</f>
        <v>2018</v>
      </c>
      <c r="D99" s="332">
        <f t="shared" si="112"/>
        <v>14203.166759002766</v>
      </c>
      <c r="E99" s="332">
        <f t="shared" ref="E99:E127" si="117">V19+W19</f>
        <v>14203.166759002766</v>
      </c>
      <c r="F99" s="332">
        <f t="shared" ref="F99:F127" si="118">AB19+AC19</f>
        <v>14203.166759002766</v>
      </c>
      <c r="G99" s="332">
        <f t="shared" ref="G99:G127" si="119">AH19+AI19</f>
        <v>14203.166759002766</v>
      </c>
      <c r="H99" s="332">
        <f t="shared" ref="H99:H127" si="120">AN19+AO19</f>
        <v>14203.166759002766</v>
      </c>
      <c r="I99" s="332">
        <f t="shared" ref="I99:I127" si="121">AU19+AV19</f>
        <v>14203.166759002766</v>
      </c>
      <c r="J99" s="332">
        <f t="shared" si="113"/>
        <v>16005.6</v>
      </c>
      <c r="K99" s="332">
        <f t="shared" si="114"/>
        <v>15104.383379501383</v>
      </c>
      <c r="L99" s="332">
        <f t="shared" ref="L99:L127" si="122">L98+K99</f>
        <v>30145.436011080332</v>
      </c>
      <c r="M99" s="332">
        <f t="shared" ref="M99:M127" si="123">M98+J99</f>
        <v>31395.599999999999</v>
      </c>
      <c r="N99" s="18">
        <f t="shared" ref="N99:N127" si="124">D99/K99</f>
        <v>0.94033410051537192</v>
      </c>
      <c r="O99" s="332"/>
      <c r="P99" s="332"/>
    </row>
    <row r="100" spans="2:16">
      <c r="B100">
        <f t="shared" si="115"/>
        <v>64</v>
      </c>
      <c r="C100" s="36">
        <f t="shared" si="116"/>
        <v>2019</v>
      </c>
      <c r="D100" s="332">
        <f t="shared" si="112"/>
        <v>13877.393221705785</v>
      </c>
      <c r="E100" s="332">
        <f t="shared" si="117"/>
        <v>13877.393221705785</v>
      </c>
      <c r="F100" s="332">
        <f t="shared" si="118"/>
        <v>13877.393221705785</v>
      </c>
      <c r="G100" s="332">
        <f t="shared" si="119"/>
        <v>13877.393221705785</v>
      </c>
      <c r="H100" s="332">
        <f t="shared" si="120"/>
        <v>13877.393221705785</v>
      </c>
      <c r="I100" s="332">
        <f t="shared" si="121"/>
        <v>13877.393221705785</v>
      </c>
      <c r="J100" s="332">
        <f t="shared" si="113"/>
        <v>16412.142240000001</v>
      </c>
      <c r="K100" s="332">
        <f t="shared" si="114"/>
        <v>15144.767730852893</v>
      </c>
      <c r="L100" s="332">
        <f t="shared" si="122"/>
        <v>45290.203741933226</v>
      </c>
      <c r="M100" s="332">
        <f t="shared" si="123"/>
        <v>47807.74224</v>
      </c>
      <c r="N100" s="18">
        <f t="shared" si="124"/>
        <v>0.91631601542721486</v>
      </c>
      <c r="O100" s="332"/>
      <c r="P100" s="332"/>
    </row>
    <row r="101" spans="2:16">
      <c r="B101">
        <f t="shared" si="115"/>
        <v>65</v>
      </c>
      <c r="C101" s="36">
        <f t="shared" si="116"/>
        <v>2020</v>
      </c>
      <c r="D101" s="332">
        <f t="shared" si="112"/>
        <v>13521.673806388721</v>
      </c>
      <c r="E101" s="332">
        <f t="shared" si="117"/>
        <v>13521.673806388721</v>
      </c>
      <c r="F101" s="332">
        <f t="shared" si="118"/>
        <v>13521.673806388721</v>
      </c>
      <c r="G101" s="332">
        <f t="shared" si="119"/>
        <v>13521.673806388721</v>
      </c>
      <c r="H101" s="332">
        <f t="shared" si="120"/>
        <v>13521.673806388721</v>
      </c>
      <c r="I101" s="332">
        <f t="shared" si="121"/>
        <v>13521.673806388721</v>
      </c>
      <c r="J101" s="332">
        <f t="shared" si="113"/>
        <v>16853.628866256</v>
      </c>
      <c r="K101" s="332">
        <f t="shared" si="114"/>
        <v>15187.65133632236</v>
      </c>
      <c r="L101" s="332">
        <f t="shared" si="122"/>
        <v>60477.855078255583</v>
      </c>
      <c r="M101" s="332">
        <f t="shared" si="123"/>
        <v>64661.371106256003</v>
      </c>
      <c r="N101" s="18">
        <f t="shared" si="124"/>
        <v>0.89030709929787932</v>
      </c>
      <c r="O101" s="332"/>
      <c r="P101" s="332"/>
    </row>
    <row r="102" spans="2:16">
      <c r="B102">
        <f t="shared" si="115"/>
        <v>66</v>
      </c>
      <c r="C102" s="36">
        <f t="shared" si="116"/>
        <v>2021</v>
      </c>
      <c r="D102" s="332">
        <f t="shared" si="112"/>
        <v>13248.549234690221</v>
      </c>
      <c r="E102" s="332">
        <f t="shared" si="117"/>
        <v>13520.328258603357</v>
      </c>
      <c r="F102" s="332">
        <f t="shared" si="118"/>
        <v>13792.107282516492</v>
      </c>
      <c r="G102" s="332">
        <f t="shared" si="119"/>
        <v>13520.328258603357</v>
      </c>
      <c r="H102" s="332">
        <f t="shared" si="120"/>
        <v>13520.328258603357</v>
      </c>
      <c r="I102" s="332">
        <f t="shared" si="121"/>
        <v>13792.107282516492</v>
      </c>
      <c r="J102" s="332">
        <f t="shared" si="113"/>
        <v>17190.701443581122</v>
      </c>
      <c r="K102" s="332">
        <f t="shared" si="114"/>
        <v>15219.625339135671</v>
      </c>
      <c r="L102" s="332">
        <f t="shared" si="122"/>
        <v>75697.480417391256</v>
      </c>
      <c r="M102" s="332">
        <f t="shared" si="123"/>
        <v>81852.072549837118</v>
      </c>
      <c r="N102" s="18">
        <f t="shared" si="124"/>
        <v>0.87049115464248428</v>
      </c>
      <c r="O102" s="332"/>
      <c r="P102" s="332"/>
    </row>
    <row r="103" spans="2:16">
      <c r="B103">
        <f t="shared" si="115"/>
        <v>67</v>
      </c>
      <c r="C103" s="36">
        <f t="shared" si="116"/>
        <v>2022</v>
      </c>
      <c r="D103" s="332">
        <f t="shared" si="112"/>
        <v>12968.817838825486</v>
      </c>
      <c r="E103" s="332">
        <f t="shared" si="117"/>
        <v>13241.169029104753</v>
      </c>
      <c r="F103" s="332">
        <f t="shared" si="118"/>
        <v>13513.52021938402</v>
      </c>
      <c r="G103" s="332">
        <f t="shared" si="119"/>
        <v>13515.951926440088</v>
      </c>
      <c r="H103" s="332">
        <f t="shared" si="120"/>
        <v>13515.951926440088</v>
      </c>
      <c r="I103" s="332">
        <f t="shared" si="121"/>
        <v>14067.949428166819</v>
      </c>
      <c r="J103" s="332">
        <f t="shared" si="113"/>
        <v>17534.515472452746</v>
      </c>
      <c r="K103" s="332">
        <f t="shared" si="114"/>
        <v>15251.666655639116</v>
      </c>
      <c r="L103" s="332">
        <f t="shared" si="122"/>
        <v>90949.14707303037</v>
      </c>
      <c r="M103" s="332">
        <f t="shared" si="123"/>
        <v>99386.588022289856</v>
      </c>
      <c r="N103" s="18">
        <f t="shared" si="124"/>
        <v>0.85032135383252849</v>
      </c>
      <c r="O103" s="332"/>
      <c r="P103" s="332"/>
    </row>
    <row r="104" spans="2:16">
      <c r="B104">
        <f t="shared" si="115"/>
        <v>68</v>
      </c>
      <c r="C104" s="36">
        <f t="shared" si="116"/>
        <v>2023</v>
      </c>
      <c r="D104" s="332">
        <f t="shared" si="112"/>
        <v>12682.345073189648</v>
      </c>
      <c r="E104" s="332">
        <f t="shared" si="117"/>
        <v>12955.26963439582</v>
      </c>
      <c r="F104" s="332">
        <f t="shared" si="118"/>
        <v>13783.7906237717</v>
      </c>
      <c r="G104" s="332">
        <f t="shared" si="119"/>
        <v>13508.45099350511</v>
      </c>
      <c r="H104" s="332">
        <f t="shared" si="120"/>
        <v>13786.270964968888</v>
      </c>
      <c r="I104" s="332">
        <f t="shared" si="121"/>
        <v>14349.308416730157</v>
      </c>
      <c r="J104" s="332">
        <f t="shared" si="113"/>
        <v>17885.205781901801</v>
      </c>
      <c r="K104" s="332">
        <f t="shared" si="114"/>
        <v>15283.775427545725</v>
      </c>
      <c r="L104" s="332">
        <f t="shared" si="122"/>
        <v>106232.9225005761</v>
      </c>
      <c r="M104" s="332">
        <f t="shared" si="123"/>
        <v>117271.79380419166</v>
      </c>
      <c r="N104" s="18">
        <f t="shared" si="124"/>
        <v>0.82979137800810943</v>
      </c>
      <c r="O104" s="332"/>
      <c r="P104" s="332"/>
    </row>
    <row r="105" spans="2:16">
      <c r="B105">
        <f t="shared" si="115"/>
        <v>69</v>
      </c>
      <c r="C105" s="36">
        <f t="shared" si="116"/>
        <v>2024</v>
      </c>
      <c r="D105" s="332">
        <f t="shared" si="112"/>
        <v>12388.993696193909</v>
      </c>
      <c r="E105" s="332">
        <f t="shared" si="117"/>
        <v>12662.492835423673</v>
      </c>
      <c r="F105" s="332">
        <f t="shared" si="118"/>
        <v>13492.758079514027</v>
      </c>
      <c r="G105" s="332">
        <f t="shared" si="119"/>
        <v>13497.729400121571</v>
      </c>
      <c r="H105" s="332">
        <f t="shared" si="120"/>
        <v>13778.62001337521</v>
      </c>
      <c r="I105" s="332">
        <f t="shared" si="121"/>
        <v>14636.294585064759</v>
      </c>
      <c r="J105" s="332">
        <f t="shared" si="113"/>
        <v>18242.909897539837</v>
      </c>
      <c r="K105" s="332">
        <f t="shared" si="114"/>
        <v>15315.951796866873</v>
      </c>
      <c r="L105" s="332">
        <f t="shared" si="122"/>
        <v>121548.87429744296</v>
      </c>
      <c r="M105" s="332">
        <f t="shared" si="123"/>
        <v>135514.70370173152</v>
      </c>
      <c r="N105" s="18">
        <f t="shared" si="124"/>
        <v>0.80889479547253984</v>
      </c>
      <c r="O105" s="332"/>
      <c r="P105" s="332"/>
    </row>
    <row r="106" spans="2:16">
      <c r="B106">
        <f t="shared" si="115"/>
        <v>70</v>
      </c>
      <c r="C106" s="36">
        <f t="shared" si="116"/>
        <v>2025</v>
      </c>
      <c r="D106" s="332">
        <f t="shared" si="112"/>
        <v>12088.623716335183</v>
      </c>
      <c r="E106" s="332">
        <f t="shared" si="117"/>
        <v>12362.698643226482</v>
      </c>
      <c r="F106" s="332">
        <f t="shared" si="118"/>
        <v>13762.613241104307</v>
      </c>
      <c r="G106" s="332">
        <f t="shared" si="119"/>
        <v>13483.688794408085</v>
      </c>
      <c r="H106" s="332">
        <f t="shared" si="120"/>
        <v>13767.683988123998</v>
      </c>
      <c r="I106" s="332">
        <f t="shared" si="121"/>
        <v>14929.020476766051</v>
      </c>
      <c r="J106" s="332">
        <f t="shared" si="113"/>
        <v>18607.768095490635</v>
      </c>
      <c r="K106" s="332">
        <f t="shared" si="114"/>
        <v>15348.195905912909</v>
      </c>
      <c r="L106" s="332">
        <f t="shared" si="122"/>
        <v>136897.07020335586</v>
      </c>
      <c r="M106" s="332">
        <f t="shared" si="123"/>
        <v>154122.47179722216</v>
      </c>
      <c r="N106" s="18">
        <f t="shared" si="124"/>
        <v>0.78762505967740659</v>
      </c>
      <c r="O106" s="332"/>
      <c r="P106" s="332"/>
    </row>
    <row r="107" spans="2:16">
      <c r="B107">
        <f t="shared" si="115"/>
        <v>71</v>
      </c>
      <c r="C107" s="36">
        <f t="shared" si="116"/>
        <v>2026</v>
      </c>
      <c r="D107" s="332">
        <f t="shared" si="112"/>
        <v>11781.09233718711</v>
      </c>
      <c r="E107" s="332">
        <f t="shared" si="117"/>
        <v>12055.744263924495</v>
      </c>
      <c r="F107" s="332">
        <f t="shared" si="118"/>
        <v>13458.606050429433</v>
      </c>
      <c r="G107" s="332">
        <f t="shared" si="119"/>
        <v>13466.228482333994</v>
      </c>
      <c r="H107" s="332">
        <f t="shared" si="120"/>
        <v>14043.037667886481</v>
      </c>
      <c r="I107" s="332">
        <f t="shared" si="121"/>
        <v>15077.567884793909</v>
      </c>
      <c r="J107" s="332">
        <f t="shared" si="113"/>
        <v>18979.923457400448</v>
      </c>
      <c r="K107" s="332">
        <f t="shared" si="114"/>
        <v>15380.507897293779</v>
      </c>
      <c r="L107" s="332">
        <f t="shared" si="122"/>
        <v>152277.57810064964</v>
      </c>
      <c r="M107" s="332">
        <f t="shared" si="123"/>
        <v>173102.39525462259</v>
      </c>
      <c r="N107" s="18">
        <f t="shared" si="124"/>
        <v>0.76597550717164609</v>
      </c>
      <c r="O107" s="332"/>
      <c r="P107" s="332"/>
    </row>
    <row r="108" spans="2:16">
      <c r="B108">
        <f t="shared" si="115"/>
        <v>72</v>
      </c>
      <c r="C108" s="36">
        <f t="shared" si="116"/>
        <v>2027</v>
      </c>
      <c r="D108" s="332">
        <f t="shared" si="112"/>
        <v>11466.253901290867</v>
      </c>
      <c r="E108" s="332">
        <f t="shared" si="117"/>
        <v>11741.484042610853</v>
      </c>
      <c r="F108" s="332">
        <f t="shared" si="118"/>
        <v>13727.778171438025</v>
      </c>
      <c r="G108" s="332">
        <f t="shared" si="119"/>
        <v>13445.245376730418</v>
      </c>
      <c r="H108" s="332">
        <f t="shared" si="120"/>
        <v>14028.429821702171</v>
      </c>
      <c r="I108" s="332">
        <f t="shared" si="121"/>
        <v>15226.756781222073</v>
      </c>
      <c r="J108" s="332">
        <f t="shared" si="113"/>
        <v>19359.521926548456</v>
      </c>
      <c r="K108" s="332">
        <f t="shared" si="114"/>
        <v>15412.887913919662</v>
      </c>
      <c r="L108" s="332">
        <f t="shared" si="122"/>
        <v>167690.46601456931</v>
      </c>
      <c r="M108" s="332">
        <f t="shared" si="123"/>
        <v>192461.91718117104</v>
      </c>
      <c r="N108" s="18">
        <f t="shared" si="124"/>
        <v>0.74393935551399704</v>
      </c>
      <c r="O108" s="332"/>
      <c r="P108" s="332"/>
    </row>
    <row r="109" spans="2:16">
      <c r="B109">
        <f t="shared" si="115"/>
        <v>73</v>
      </c>
      <c r="C109" s="36">
        <f t="shared" si="116"/>
        <v>2028</v>
      </c>
      <c r="D109" s="332">
        <f t="shared" si="112"/>
        <v>11143.959832923771</v>
      </c>
      <c r="E109" s="332">
        <f t="shared" si="117"/>
        <v>11419.76940612022</v>
      </c>
      <c r="F109" s="332">
        <f t="shared" si="118"/>
        <v>13410.245206797554</v>
      </c>
      <c r="G109" s="332">
        <f t="shared" si="119"/>
        <v>13420.633945235691</v>
      </c>
      <c r="H109" s="332">
        <f t="shared" si="120"/>
        <v>14010.26411302029</v>
      </c>
      <c r="I109" s="332">
        <f t="shared" si="121"/>
        <v>15376.563827890699</v>
      </c>
      <c r="J109" s="332">
        <f t="shared" si="113"/>
        <v>19746.712365079424</v>
      </c>
      <c r="K109" s="332">
        <f t="shared" si="114"/>
        <v>15445.336099001597</v>
      </c>
      <c r="L109" s="332">
        <f t="shared" si="122"/>
        <v>183135.80211357091</v>
      </c>
      <c r="M109" s="332">
        <f t="shared" si="123"/>
        <v>212208.62954625045</v>
      </c>
      <c r="N109" s="18">
        <f t="shared" si="124"/>
        <v>0.72150970114817559</v>
      </c>
      <c r="O109" s="332"/>
      <c r="P109" s="332"/>
    </row>
    <row r="110" spans="2:16">
      <c r="B110">
        <f t="shared" si="115"/>
        <v>74</v>
      </c>
      <c r="C110" s="36">
        <f t="shared" si="116"/>
        <v>2029</v>
      </c>
      <c r="D110" s="332">
        <f t="shared" si="112"/>
        <v>10814.058579723242</v>
      </c>
      <c r="E110" s="332">
        <f t="shared" si="117"/>
        <v>11090.448804652737</v>
      </c>
      <c r="F110" s="332">
        <f t="shared" si="118"/>
        <v>13678.450110933507</v>
      </c>
      <c r="G110" s="332">
        <f t="shared" si="119"/>
        <v>13392.286157153376</v>
      </c>
      <c r="H110" s="332">
        <f t="shared" si="120"/>
        <v>14290.469395280696</v>
      </c>
      <c r="I110" s="332">
        <f t="shared" si="121"/>
        <v>15526.964658322064</v>
      </c>
      <c r="J110" s="332">
        <f t="shared" si="113"/>
        <v>20141.646612381013</v>
      </c>
      <c r="K110" s="332">
        <f t="shared" si="114"/>
        <v>15477.852596052127</v>
      </c>
      <c r="L110" s="332">
        <f t="shared" si="122"/>
        <v>198613.65470962305</v>
      </c>
      <c r="M110" s="332">
        <f t="shared" si="123"/>
        <v>232350.27615863146</v>
      </c>
      <c r="N110" s="18">
        <f t="shared" si="124"/>
        <v>0.69867951724010724</v>
      </c>
      <c r="O110" s="332"/>
      <c r="P110" s="332"/>
    </row>
    <row r="111" spans="2:16">
      <c r="B111">
        <f t="shared" si="115"/>
        <v>75</v>
      </c>
      <c r="C111" s="36">
        <f t="shared" si="116"/>
        <v>2030</v>
      </c>
      <c r="D111" s="332">
        <f t="shared" si="112"/>
        <v>10476.395553143208</v>
      </c>
      <c r="E111" s="332">
        <f t="shared" si="117"/>
        <v>10753.367652230452</v>
      </c>
      <c r="F111" s="332">
        <f t="shared" si="118"/>
        <v>13346.817382313919</v>
      </c>
      <c r="G111" s="332">
        <f t="shared" si="119"/>
        <v>13360.091429200609</v>
      </c>
      <c r="H111" s="332">
        <f t="shared" si="120"/>
        <v>14268.201955749337</v>
      </c>
      <c r="I111" s="332">
        <f t="shared" si="121"/>
        <v>15677.933848435361</v>
      </c>
      <c r="J111" s="332">
        <f t="shared" si="113"/>
        <v>20544.479544628633</v>
      </c>
      <c r="K111" s="332">
        <f t="shared" si="114"/>
        <v>15510.43754888592</v>
      </c>
      <c r="L111" s="332">
        <f t="shared" si="122"/>
        <v>214124.09225850896</v>
      </c>
      <c r="M111" s="332">
        <f t="shared" si="123"/>
        <v>252894.7557032601</v>
      </c>
      <c r="N111" s="18">
        <f t="shared" si="124"/>
        <v>0.67544165147653767</v>
      </c>
      <c r="O111" s="332"/>
      <c r="P111" s="332"/>
    </row>
    <row r="112" spans="2:16">
      <c r="B112">
        <f t="shared" si="115"/>
        <v>76</v>
      </c>
      <c r="C112" s="36">
        <f t="shared" si="116"/>
        <v>2031</v>
      </c>
      <c r="D112" s="332">
        <f t="shared" si="112"/>
        <v>10130.813067719628</v>
      </c>
      <c r="E112" s="332">
        <f t="shared" si="117"/>
        <v>10408.368265962847</v>
      </c>
      <c r="F112" s="332">
        <f t="shared" si="118"/>
        <v>13613.753729960197</v>
      </c>
      <c r="G112" s="332">
        <f t="shared" si="119"/>
        <v>13323.936570124046</v>
      </c>
      <c r="H112" s="332">
        <f t="shared" si="120"/>
        <v>14242.084107755676</v>
      </c>
      <c r="I112" s="332">
        <f t="shared" si="121"/>
        <v>15829.444886540361</v>
      </c>
      <c r="J112" s="332">
        <f t="shared" si="113"/>
        <v>20955.369135521207</v>
      </c>
      <c r="K112" s="332">
        <f t="shared" si="114"/>
        <v>15543.091101620417</v>
      </c>
      <c r="L112" s="332">
        <f t="shared" si="122"/>
        <v>229667.18336012936</v>
      </c>
      <c r="M112" s="332">
        <f t="shared" si="123"/>
        <v>273850.12483878131</v>
      </c>
      <c r="N112" s="18">
        <f t="shared" si="124"/>
        <v>0.65178882382433301</v>
      </c>
      <c r="O112" s="332"/>
      <c r="P112" s="332"/>
    </row>
    <row r="113" spans="2:16">
      <c r="B113">
        <f t="shared" si="115"/>
        <v>77</v>
      </c>
      <c r="C113" s="36">
        <f t="shared" si="116"/>
        <v>2032</v>
      </c>
      <c r="D113" s="332">
        <f t="shared" si="112"/>
        <v>9777.1502791212915</v>
      </c>
      <c r="E113" s="332">
        <f t="shared" si="117"/>
        <v>10055.289804097654</v>
      </c>
      <c r="F113" s="332">
        <f t="shared" si="118"/>
        <v>13267.423448019206</v>
      </c>
      <c r="G113" s="332">
        <f t="shared" si="119"/>
        <v>13283.705724160227</v>
      </c>
      <c r="H113" s="332">
        <f t="shared" si="120"/>
        <v>14526.925789910794</v>
      </c>
      <c r="I113" s="332">
        <f t="shared" si="121"/>
        <v>15816.906500915884</v>
      </c>
      <c r="J113" s="332">
        <f t="shared" si="113"/>
        <v>21374.47651823163</v>
      </c>
      <c r="K113" s="332">
        <f t="shared" si="114"/>
        <v>15575.813398676461</v>
      </c>
      <c r="L113" s="332">
        <f t="shared" si="122"/>
        <v>245242.99675880582</v>
      </c>
      <c r="M113" s="332">
        <f t="shared" si="123"/>
        <v>295224.60135701293</v>
      </c>
      <c r="N113" s="18">
        <f t="shared" si="124"/>
        <v>0.62771362424976762</v>
      </c>
      <c r="O113" s="332"/>
      <c r="P113" s="332"/>
    </row>
    <row r="114" spans="2:16">
      <c r="B114">
        <f t="shared" si="115"/>
        <v>78</v>
      </c>
      <c r="C114" s="36">
        <f t="shared" si="116"/>
        <v>2033</v>
      </c>
      <c r="D114" s="332">
        <f t="shared" si="112"/>
        <v>9415.2431209616116</v>
      </c>
      <c r="E114" s="332">
        <f t="shared" si="117"/>
        <v>9975.1819015061337</v>
      </c>
      <c r="F114" s="332">
        <f t="shared" si="118"/>
        <v>13532.771916979593</v>
      </c>
      <c r="G114" s="332">
        <f t="shared" si="119"/>
        <v>13239.280313316765</v>
      </c>
      <c r="H114" s="332">
        <f t="shared" si="120"/>
        <v>14496.241232425633</v>
      </c>
      <c r="I114" s="332">
        <f t="shared" si="121"/>
        <v>15800.47962497341</v>
      </c>
      <c r="J114" s="332">
        <f t="shared" si="113"/>
        <v>21801.966048596263</v>
      </c>
      <c r="K114" s="332">
        <f t="shared" si="114"/>
        <v>15608.604584778937</v>
      </c>
      <c r="L114" s="332">
        <f t="shared" si="122"/>
        <v>260851.60134358477</v>
      </c>
      <c r="M114" s="332">
        <f t="shared" si="123"/>
        <v>317026.56740560918</v>
      </c>
      <c r="N114" s="18">
        <f t="shared" si="124"/>
        <v>0.60320851039708479</v>
      </c>
      <c r="O114" s="332"/>
      <c r="P114" s="332"/>
    </row>
    <row r="115" spans="2:16">
      <c r="B115">
        <f t="shared" si="115"/>
        <v>79</v>
      </c>
      <c r="C115" s="36">
        <f t="shared" si="116"/>
        <v>2034</v>
      </c>
      <c r="D115" s="332">
        <f t="shared" si="112"/>
        <v>9044.9242403466487</v>
      </c>
      <c r="E115" s="332">
        <f t="shared" si="117"/>
        <v>9606.0418393765285</v>
      </c>
      <c r="F115" s="332">
        <f t="shared" si="118"/>
        <v>13171.121518040458</v>
      </c>
      <c r="G115" s="332">
        <f t="shared" si="119"/>
        <v>13190.538978450193</v>
      </c>
      <c r="H115" s="332">
        <f t="shared" si="120"/>
        <v>14461.392623507109</v>
      </c>
      <c r="I115" s="332">
        <f t="shared" si="121"/>
        <v>15780.046282498832</v>
      </c>
      <c r="J115" s="332">
        <f t="shared" si="113"/>
        <v>22238.005369568189</v>
      </c>
      <c r="K115" s="332">
        <f t="shared" si="114"/>
        <v>15641.464804957419</v>
      </c>
      <c r="L115" s="332">
        <f t="shared" si="122"/>
        <v>276493.06614854222</v>
      </c>
      <c r="M115" s="332">
        <f t="shared" si="123"/>
        <v>339264.57277517737</v>
      </c>
      <c r="N115" s="18">
        <f t="shared" si="124"/>
        <v>0.57826580522560411</v>
      </c>
      <c r="O115" s="332"/>
      <c r="P115" s="332"/>
    </row>
    <row r="116" spans="2:16">
      <c r="B116">
        <f t="shared" si="115"/>
        <v>80</v>
      </c>
      <c r="C116" s="36">
        <f t="shared" si="116"/>
        <v>2035</v>
      </c>
      <c r="D116" s="332">
        <f t="shared" si="112"/>
        <v>8666.0229321340521</v>
      </c>
      <c r="E116" s="332">
        <f t="shared" si="117"/>
        <v>9228.3218313724174</v>
      </c>
      <c r="F116" s="332">
        <f t="shared" si="118"/>
        <v>13434.543948401268</v>
      </c>
      <c r="G116" s="332">
        <f t="shared" si="119"/>
        <v>13137.357519115874</v>
      </c>
      <c r="H116" s="332">
        <f t="shared" si="120"/>
        <v>14750.620475977252</v>
      </c>
      <c r="I116" s="332">
        <f t="shared" si="121"/>
        <v>15755.485693367154</v>
      </c>
      <c r="J116" s="332">
        <f t="shared" si="113"/>
        <v>22682.765476959554</v>
      </c>
      <c r="K116" s="332">
        <f t="shared" si="114"/>
        <v>15674.394204546803</v>
      </c>
      <c r="L116" s="332">
        <f t="shared" si="122"/>
        <v>292167.46035308903</v>
      </c>
      <c r="M116" s="332">
        <f t="shared" si="123"/>
        <v>361947.33825213695</v>
      </c>
      <c r="N116" s="18">
        <f t="shared" si="124"/>
        <v>0.55287769460463265</v>
      </c>
      <c r="O116" s="332"/>
      <c r="P116" s="332"/>
    </row>
    <row r="117" spans="2:16">
      <c r="B117">
        <f t="shared" si="115"/>
        <v>81</v>
      </c>
      <c r="C117" s="36">
        <f t="shared" si="116"/>
        <v>2036</v>
      </c>
      <c r="D117" s="332">
        <f t="shared" si="112"/>
        <v>8278.3650718771642</v>
      </c>
      <c r="E117" s="332">
        <f t="shared" si="117"/>
        <v>8841.8477582718224</v>
      </c>
      <c r="F117" s="332">
        <f t="shared" si="118"/>
        <v>13056.925079757577</v>
      </c>
      <c r="G117" s="332">
        <f t="shared" si="119"/>
        <v>13079.608832164889</v>
      </c>
      <c r="H117" s="332">
        <f t="shared" si="120"/>
        <v>14710.702590128418</v>
      </c>
      <c r="I117" s="332">
        <f t="shared" si="121"/>
        <v>15726.674212552625</v>
      </c>
      <c r="J117" s="332">
        <f t="shared" si="113"/>
        <v>23136.420786498744</v>
      </c>
      <c r="K117" s="332">
        <f t="shared" si="114"/>
        <v>15707.392929187954</v>
      </c>
      <c r="L117" s="332">
        <f t="shared" si="122"/>
        <v>307874.85328227701</v>
      </c>
      <c r="M117" s="332">
        <f t="shared" si="123"/>
        <v>385083.7590386357</v>
      </c>
      <c r="N117" s="18">
        <f t="shared" si="124"/>
        <v>0.52703622486542978</v>
      </c>
      <c r="O117" s="332"/>
      <c r="P117" s="332"/>
    </row>
    <row r="118" spans="2:16">
      <c r="B118">
        <f t="shared" si="115"/>
        <v>82</v>
      </c>
      <c r="C118" s="36">
        <f t="shared" si="116"/>
        <v>2037</v>
      </c>
      <c r="D118" s="332">
        <f t="shared" si="112"/>
        <v>7881.7730474279779</v>
      </c>
      <c r="E118" s="332">
        <f t="shared" si="117"/>
        <v>8446.4420131624138</v>
      </c>
      <c r="F118" s="332">
        <f t="shared" si="118"/>
        <v>13318.063581352726</v>
      </c>
      <c r="G118" s="332">
        <f t="shared" si="119"/>
        <v>13017.162849062246</v>
      </c>
      <c r="H118" s="332">
        <f t="shared" si="120"/>
        <v>14666.284485403266</v>
      </c>
      <c r="I118" s="332">
        <f t="shared" si="121"/>
        <v>15693.485267864795</v>
      </c>
      <c r="J118" s="332">
        <f t="shared" si="113"/>
        <v>23599.14920222872</v>
      </c>
      <c r="K118" s="332">
        <f t="shared" si="114"/>
        <v>15740.461124828349</v>
      </c>
      <c r="L118" s="332">
        <f t="shared" si="122"/>
        <v>323615.31440710538</v>
      </c>
      <c r="M118" s="332">
        <f t="shared" si="123"/>
        <v>408682.9082408644</v>
      </c>
      <c r="N118" s="18">
        <f t="shared" si="124"/>
        <v>0.50073330030945518</v>
      </c>
      <c r="O118" s="332"/>
      <c r="P118" s="332"/>
    </row>
    <row r="119" spans="2:16">
      <c r="B119">
        <f t="shared" si="115"/>
        <v>83</v>
      </c>
      <c r="C119" s="36">
        <f t="shared" si="116"/>
        <v>2038</v>
      </c>
      <c r="D119" s="332">
        <f t="shared" si="112"/>
        <v>7476.0656891721555</v>
      </c>
      <c r="E119" s="332">
        <f t="shared" si="117"/>
        <v>8041.9234316765578</v>
      </c>
      <c r="F119" s="332">
        <f t="shared" si="118"/>
        <v>12923.801045273583</v>
      </c>
      <c r="G119" s="332">
        <f t="shared" si="119"/>
        <v>12949.886471900361</v>
      </c>
      <c r="H119" s="332">
        <f t="shared" si="120"/>
        <v>14959.610175111331</v>
      </c>
      <c r="I119" s="332">
        <f t="shared" si="121"/>
        <v>15655.789296384413</v>
      </c>
      <c r="J119" s="332">
        <f t="shared" si="113"/>
        <v>24071.132186273295</v>
      </c>
      <c r="K119" s="332">
        <f t="shared" si="114"/>
        <v>15773.598937722725</v>
      </c>
      <c r="L119" s="332">
        <f t="shared" si="122"/>
        <v>339388.91334482812</v>
      </c>
      <c r="M119" s="332">
        <f t="shared" si="123"/>
        <v>432754.04042713769</v>
      </c>
      <c r="N119" s="18">
        <f t="shared" si="124"/>
        <v>0.47396068067212405</v>
      </c>
      <c r="O119" s="332"/>
      <c r="P119" s="332"/>
    </row>
    <row r="120" spans="2:16">
      <c r="B120">
        <f t="shared" si="115"/>
        <v>84</v>
      </c>
      <c r="C120" s="36">
        <f t="shared" si="116"/>
        <v>2039</v>
      </c>
      <c r="D120" s="332">
        <f t="shared" si="112"/>
        <v>7061.058198868679</v>
      </c>
      <c r="E120" s="332">
        <f t="shared" si="117"/>
        <v>7628.1072208309852</v>
      </c>
      <c r="F120" s="332">
        <f t="shared" si="118"/>
        <v>13182.277066179053</v>
      </c>
      <c r="G120" s="332">
        <f t="shared" si="119"/>
        <v>12877.643508081022</v>
      </c>
      <c r="H120" s="332">
        <f t="shared" si="120"/>
        <v>14909.579946959067</v>
      </c>
      <c r="I120" s="332">
        <f t="shared" si="121"/>
        <v>15613.453679572533</v>
      </c>
      <c r="J120" s="332">
        <f t="shared" si="113"/>
        <v>24552.55482999876</v>
      </c>
      <c r="K120" s="332">
        <f t="shared" si="114"/>
        <v>15806.80651443372</v>
      </c>
      <c r="L120" s="332">
        <f t="shared" si="122"/>
        <v>355195.71985926182</v>
      </c>
      <c r="M120" s="332">
        <f t="shared" si="123"/>
        <v>457306.59525713645</v>
      </c>
      <c r="N120" s="18">
        <f t="shared" si="124"/>
        <v>0.44670997854126909</v>
      </c>
      <c r="O120" s="332"/>
      <c r="P120" s="332"/>
    </row>
    <row r="121" spans="2:16">
      <c r="B121">
        <f t="shared" si="115"/>
        <v>85</v>
      </c>
      <c r="C121" s="36">
        <f t="shared" si="116"/>
        <v>2040</v>
      </c>
      <c r="D121" s="332">
        <f t="shared" si="112"/>
        <v>6636.562077066319</v>
      </c>
      <c r="E121" s="332">
        <f t="shared" si="117"/>
        <v>7204.8048864432822</v>
      </c>
      <c r="F121" s="332">
        <f t="shared" si="118"/>
        <v>12770.667720939455</v>
      </c>
      <c r="G121" s="332">
        <f t="shared" si="119"/>
        <v>12800.294603638773</v>
      </c>
      <c r="H121" s="332">
        <f t="shared" si="120"/>
        <v>14854.689287367575</v>
      </c>
      <c r="I121" s="332">
        <f t="shared" si="121"/>
        <v>15566.342677025714</v>
      </c>
      <c r="J121" s="332">
        <f t="shared" si="113"/>
        <v>25043.605926598735</v>
      </c>
      <c r="K121" s="332">
        <f t="shared" si="114"/>
        <v>15840.084001832527</v>
      </c>
      <c r="L121" s="332">
        <f t="shared" si="122"/>
        <v>371035.80386109435</v>
      </c>
      <c r="M121" s="332">
        <f t="shared" si="123"/>
        <v>482350.20118373516</v>
      </c>
      <c r="N121" s="18">
        <f t="shared" si="124"/>
        <v>0.41897265672950601</v>
      </c>
      <c r="O121" s="332"/>
      <c r="P121" s="332"/>
    </row>
    <row r="122" spans="2:16">
      <c r="B122">
        <f t="shared" si="115"/>
        <v>86</v>
      </c>
      <c r="C122" s="36">
        <f t="shared" si="116"/>
        <v>2041</v>
      </c>
      <c r="D122" s="332">
        <f t="shared" si="112"/>
        <v>6202.3850490683762</v>
      </c>
      <c r="E122" s="332">
        <f t="shared" si="117"/>
        <v>6771.8241590966609</v>
      </c>
      <c r="F122" s="332">
        <f t="shared" si="118"/>
        <v>13026.081075358248</v>
      </c>
      <c r="G122" s="332">
        <f t="shared" si="119"/>
        <v>12717.697175177847</v>
      </c>
      <c r="H122" s="332">
        <f t="shared" si="120"/>
        <v>15151.78307311493</v>
      </c>
      <c r="I122" s="332">
        <f t="shared" si="121"/>
        <v>15514.317358849592</v>
      </c>
      <c r="J122" s="332">
        <f t="shared" si="113"/>
        <v>25544.478045130709</v>
      </c>
      <c r="K122" s="332">
        <f t="shared" si="114"/>
        <v>15873.431547099543</v>
      </c>
      <c r="L122" s="332">
        <f t="shared" si="122"/>
        <v>386909.2354081939</v>
      </c>
      <c r="M122" s="332">
        <f t="shared" si="123"/>
        <v>507894.67922886589</v>
      </c>
      <c r="N122" s="18">
        <f t="shared" si="124"/>
        <v>0.3907400255996758</v>
      </c>
      <c r="O122" s="332"/>
      <c r="P122" s="332"/>
    </row>
    <row r="123" spans="2:16">
      <c r="B123">
        <f t="shared" si="115"/>
        <v>87</v>
      </c>
      <c r="C123" s="36">
        <f t="shared" si="116"/>
        <v>2042</v>
      </c>
      <c r="D123" s="332">
        <f t="shared" si="112"/>
        <v>5758.3309894167069</v>
      </c>
      <c r="E123" s="332">
        <f t="shared" si="117"/>
        <v>6328.9689186239993</v>
      </c>
      <c r="F123" s="332">
        <f t="shared" si="118"/>
        <v>12596.392691551402</v>
      </c>
      <c r="G123" s="332">
        <f t="shared" si="119"/>
        <v>12629.70534039443</v>
      </c>
      <c r="H123" s="332">
        <f t="shared" si="120"/>
        <v>15090.694292992921</v>
      </c>
      <c r="I123" s="332">
        <f t="shared" si="121"/>
        <v>15457.235536622546</v>
      </c>
      <c r="J123" s="332">
        <f t="shared" si="113"/>
        <v>26055.367606033324</v>
      </c>
      <c r="K123" s="332">
        <f t="shared" si="114"/>
        <v>15906.849297725015</v>
      </c>
      <c r="L123" s="332">
        <f t="shared" si="122"/>
        <v>402816.08470591891</v>
      </c>
      <c r="M123" s="332">
        <f t="shared" si="123"/>
        <v>533950.04683489923</v>
      </c>
      <c r="N123" s="18">
        <f t="shared" si="124"/>
        <v>0.36200324034252707</v>
      </c>
      <c r="O123" s="332"/>
      <c r="P123" s="332"/>
    </row>
    <row r="124" spans="2:16">
      <c r="B124">
        <f t="shared" si="115"/>
        <v>88</v>
      </c>
      <c r="C124" s="36">
        <f t="shared" si="116"/>
        <v>2043</v>
      </c>
      <c r="D124" s="332">
        <f t="shared" si="112"/>
        <v>5304.1998448654085</v>
      </c>
      <c r="E124" s="332">
        <f t="shared" si="117"/>
        <v>5876.0391170815565</v>
      </c>
      <c r="F124" s="332">
        <f t="shared" si="118"/>
        <v>12848.32054538243</v>
      </c>
      <c r="G124" s="332">
        <f t="shared" si="119"/>
        <v>12536.169847155335</v>
      </c>
      <c r="H124" s="332">
        <f t="shared" si="120"/>
        <v>15024.359203966753</v>
      </c>
      <c r="I124" s="332">
        <f t="shared" si="121"/>
        <v>15394.951692920706</v>
      </c>
      <c r="J124" s="332">
        <f t="shared" si="113"/>
        <v>26576.474958153991</v>
      </c>
      <c r="K124" s="332">
        <f t="shared" si="114"/>
        <v>15940.3374015097</v>
      </c>
      <c r="L124" s="332">
        <f t="shared" si="122"/>
        <v>418756.4221074286</v>
      </c>
      <c r="M124" s="332">
        <f t="shared" si="123"/>
        <v>560526.52179305325</v>
      </c>
      <c r="N124" s="18">
        <f t="shared" si="124"/>
        <v>0.33275329820578647</v>
      </c>
      <c r="O124" s="332"/>
      <c r="P124" s="332"/>
    </row>
    <row r="125" spans="2:16">
      <c r="B125">
        <f t="shared" si="115"/>
        <v>89</v>
      </c>
      <c r="C125" s="36">
        <f t="shared" si="116"/>
        <v>2044</v>
      </c>
      <c r="D125" s="332">
        <f t="shared" si="112"/>
        <v>4839.7875558139494</v>
      </c>
      <c r="E125" s="332">
        <f t="shared" si="117"/>
        <v>5412.8307001821304</v>
      </c>
      <c r="F125" s="332">
        <f t="shared" si="118"/>
        <v>12399.79061570048</v>
      </c>
      <c r="G125" s="332">
        <f t="shared" si="119"/>
        <v>12436.938001103572</v>
      </c>
      <c r="H125" s="332">
        <f t="shared" si="120"/>
        <v>15324.846388046088</v>
      </c>
      <c r="I125" s="332">
        <f t="shared" si="121"/>
        <v>15327.316909374767</v>
      </c>
      <c r="J125" s="332">
        <f t="shared" si="113"/>
        <v>27108.004457317071</v>
      </c>
      <c r="K125" s="332">
        <f t="shared" si="114"/>
        <v>15973.89600656551</v>
      </c>
      <c r="L125" s="332">
        <f t="shared" si="122"/>
        <v>434730.31811399409</v>
      </c>
      <c r="M125" s="332">
        <f t="shared" si="123"/>
        <v>587634.52625037031</v>
      </c>
      <c r="N125" s="18">
        <f t="shared" si="124"/>
        <v>0.30298103567374701</v>
      </c>
      <c r="O125" s="332"/>
      <c r="P125" s="332"/>
    </row>
    <row r="126" spans="2:16">
      <c r="B126">
        <f t="shared" si="115"/>
        <v>90</v>
      </c>
      <c r="C126" s="36">
        <f t="shared" si="116"/>
        <v>2045</v>
      </c>
      <c r="D126" s="332">
        <f t="shared" si="112"/>
        <v>4364.8859761689346</v>
      </c>
      <c r="E126" s="332">
        <f t="shared" si="117"/>
        <v>4939.1355271568391</v>
      </c>
      <c r="F126" s="332">
        <f t="shared" si="118"/>
        <v>12647.786428014486</v>
      </c>
      <c r="G126" s="332">
        <f t="shared" si="119"/>
        <v>12331.853591760824</v>
      </c>
      <c r="H126" s="332">
        <f t="shared" si="120"/>
        <v>15251.680966137967</v>
      </c>
      <c r="I126" s="332">
        <f t="shared" si="121"/>
        <v>15254.178793228704</v>
      </c>
      <c r="J126" s="332">
        <f t="shared" si="113"/>
        <v>27650.164546463413</v>
      </c>
      <c r="K126" s="332">
        <f t="shared" si="114"/>
        <v>16007.525261316174</v>
      </c>
      <c r="L126" s="332">
        <f t="shared" si="122"/>
        <v>450737.84337531024</v>
      </c>
      <c r="M126" s="332">
        <f t="shared" si="123"/>
        <v>615284.69079683372</v>
      </c>
      <c r="N126" s="18">
        <f t="shared" si="124"/>
        <v>0.27267712559649238</v>
      </c>
      <c r="O126" s="332"/>
      <c r="P126" s="332"/>
    </row>
    <row r="127" spans="2:16">
      <c r="B127">
        <f t="shared" si="115"/>
        <v>91</v>
      </c>
      <c r="C127" s="36">
        <f t="shared" si="116"/>
        <v>2046</v>
      </c>
      <c r="D127" s="332">
        <f t="shared" si="112"/>
        <v>3879.2827916031019</v>
      </c>
      <c r="E127" s="332">
        <f t="shared" si="117"/>
        <v>4746.3297633570583</v>
      </c>
      <c r="F127" s="332">
        <f t="shared" si="118"/>
        <v>12179.620928610431</v>
      </c>
      <c r="G127" s="332">
        <f t="shared" si="119"/>
        <v>12220.756817096142</v>
      </c>
      <c r="H127" s="332">
        <f t="shared" si="120"/>
        <v>15172.855967716398</v>
      </c>
      <c r="I127" s="332">
        <f t="shared" si="121"/>
        <v>14983.440919007935</v>
      </c>
      <c r="J127" s="332">
        <f t="shared" si="113"/>
        <v>28203.167837392681</v>
      </c>
      <c r="K127" s="332">
        <f t="shared" si="114"/>
        <v>16041.225314497891</v>
      </c>
      <c r="L127" s="332">
        <f t="shared" si="122"/>
        <v>466779.06868980813</v>
      </c>
      <c r="M127" s="332">
        <f t="shared" si="123"/>
        <v>643487.85863422637</v>
      </c>
      <c r="N127" s="18">
        <f t="shared" si="124"/>
        <v>0.24183207426785824</v>
      </c>
      <c r="O127" s="332"/>
      <c r="P127" s="332"/>
    </row>
    <row r="131" spans="3:16" ht="80">
      <c r="C131" s="100" t="s">
        <v>28</v>
      </c>
      <c r="D131" s="100" t="s">
        <v>162</v>
      </c>
      <c r="E131" s="100" t="s">
        <v>86</v>
      </c>
      <c r="F131" s="100" t="s">
        <v>163</v>
      </c>
      <c r="G131" s="100" t="s">
        <v>102</v>
      </c>
      <c r="H131" s="100" t="s">
        <v>88</v>
      </c>
      <c r="I131" s="100" t="s">
        <v>90</v>
      </c>
      <c r="J131" s="362"/>
      <c r="K131" s="362"/>
      <c r="L131" s="362"/>
      <c r="M131" s="362"/>
      <c r="N131" s="362"/>
      <c r="O131" s="362"/>
      <c r="P131" s="362"/>
    </row>
    <row r="132" spans="3:16">
      <c r="C132" s="604" t="s">
        <v>87</v>
      </c>
      <c r="D132" s="604"/>
      <c r="E132" s="9">
        <f t="shared" ref="E132:E161" si="125">O17</f>
        <v>15000</v>
      </c>
    </row>
    <row r="133" spans="3:16">
      <c r="C133" s="163">
        <f t="shared" ref="C133:C161" si="126">C18</f>
        <v>2017</v>
      </c>
      <c r="D133" s="194">
        <f t="shared" ref="D133:D161" si="127">G18</f>
        <v>2.5999999999999999E-2</v>
      </c>
      <c r="E133" s="8">
        <f t="shared" si="125"/>
        <v>15041.052631578947</v>
      </c>
      <c r="F133" s="9">
        <f t="shared" ref="F133:F161" si="128">I18</f>
        <v>15390</v>
      </c>
      <c r="G133" s="9">
        <f t="shared" ref="G133:G161" si="129">Q18</f>
        <v>-348.9473684210534</v>
      </c>
      <c r="H133" s="9">
        <f t="shared" ref="H133:H162" si="130">E133+G133</f>
        <v>14692.105263157893</v>
      </c>
      <c r="I133" s="455">
        <f t="shared" ref="I133:I162" si="131">R18</f>
        <v>-348.9473684210534</v>
      </c>
      <c r="J133" s="363"/>
      <c r="K133" s="363"/>
      <c r="L133" s="363"/>
      <c r="M133" s="363"/>
      <c r="N133" s="363"/>
      <c r="O133" s="363"/>
      <c r="P133" s="363"/>
    </row>
    <row r="134" spans="3:16">
      <c r="C134" s="163">
        <f t="shared" si="126"/>
        <v>2018</v>
      </c>
      <c r="D134" s="194">
        <f t="shared" si="127"/>
        <v>0.04</v>
      </c>
      <c r="E134" s="8">
        <f t="shared" si="125"/>
        <v>15104.383379501383</v>
      </c>
      <c r="F134" s="9">
        <f t="shared" si="128"/>
        <v>16005.6</v>
      </c>
      <c r="G134" s="9">
        <f t="shared" si="129"/>
        <v>-901.21662049861698</v>
      </c>
      <c r="H134" s="9">
        <f t="shared" si="130"/>
        <v>14203.166759002766</v>
      </c>
      <c r="I134" s="455">
        <f t="shared" si="131"/>
        <v>-1250.1639889196704</v>
      </c>
      <c r="J134" s="363"/>
      <c r="K134" s="363"/>
      <c r="L134" s="363"/>
      <c r="M134" s="363"/>
      <c r="N134" s="363"/>
      <c r="O134" s="363"/>
      <c r="P134" s="363"/>
    </row>
    <row r="135" spans="3:16">
      <c r="C135" s="163">
        <f t="shared" si="126"/>
        <v>2019</v>
      </c>
      <c r="D135" s="194">
        <f t="shared" si="127"/>
        <v>2.5399999999999999E-2</v>
      </c>
      <c r="E135" s="8">
        <f t="shared" si="125"/>
        <v>15144.767730852893</v>
      </c>
      <c r="F135" s="9">
        <f t="shared" si="128"/>
        <v>16412.142240000001</v>
      </c>
      <c r="G135" s="9">
        <f t="shared" si="129"/>
        <v>-1267.3745091471083</v>
      </c>
      <c r="H135" s="9">
        <f t="shared" si="130"/>
        <v>13877.393221705785</v>
      </c>
      <c r="I135" s="455">
        <f t="shared" si="131"/>
        <v>-2517.5384980667786</v>
      </c>
      <c r="J135" s="363"/>
      <c r="K135" s="363"/>
      <c r="L135" s="363"/>
      <c r="M135" s="363"/>
      <c r="N135" s="363"/>
      <c r="O135" s="363"/>
      <c r="P135" s="363"/>
    </row>
    <row r="136" spans="3:16">
      <c r="C136" s="163">
        <f t="shared" si="126"/>
        <v>2020</v>
      </c>
      <c r="D136" s="194">
        <f t="shared" si="127"/>
        <v>2.69E-2</v>
      </c>
      <c r="E136" s="8">
        <f t="shared" si="125"/>
        <v>15187.65133632236</v>
      </c>
      <c r="F136" s="9">
        <f t="shared" si="128"/>
        <v>16853.628866256</v>
      </c>
      <c r="G136" s="9">
        <f t="shared" si="129"/>
        <v>-1665.9775299336397</v>
      </c>
      <c r="H136" s="9">
        <f t="shared" si="130"/>
        <v>13521.673806388721</v>
      </c>
      <c r="I136" s="455">
        <f t="shared" si="131"/>
        <v>-4183.5160280004184</v>
      </c>
      <c r="J136" s="363"/>
      <c r="K136" s="363"/>
      <c r="L136" s="363"/>
      <c r="M136" s="363"/>
      <c r="N136" s="363"/>
      <c r="O136" s="363"/>
      <c r="P136" s="363"/>
    </row>
    <row r="137" spans="3:16">
      <c r="C137" s="163">
        <f t="shared" si="126"/>
        <v>2021</v>
      </c>
      <c r="D137" s="194">
        <f t="shared" si="127"/>
        <v>0.02</v>
      </c>
      <c r="E137" s="8">
        <f t="shared" si="125"/>
        <v>15219.625339135671</v>
      </c>
      <c r="F137" s="9">
        <f t="shared" si="128"/>
        <v>17190.701443581122</v>
      </c>
      <c r="G137" s="9">
        <f t="shared" si="129"/>
        <v>-1971.0761044454503</v>
      </c>
      <c r="H137" s="9">
        <f t="shared" si="130"/>
        <v>13248.549234690221</v>
      </c>
      <c r="I137" s="455">
        <f t="shared" si="131"/>
        <v>-6154.5921324458686</v>
      </c>
      <c r="J137" s="363"/>
      <c r="K137" s="363"/>
      <c r="L137" s="363"/>
      <c r="M137" s="363"/>
      <c r="N137" s="363"/>
      <c r="O137" s="363"/>
      <c r="P137" s="363"/>
    </row>
    <row r="138" spans="3:16">
      <c r="C138" s="163">
        <f t="shared" si="126"/>
        <v>2022</v>
      </c>
      <c r="D138" s="194">
        <f t="shared" si="127"/>
        <v>0.02</v>
      </c>
      <c r="E138" s="8">
        <f t="shared" si="125"/>
        <v>15251.666655639116</v>
      </c>
      <c r="F138" s="9">
        <f t="shared" si="128"/>
        <v>17534.515472452746</v>
      </c>
      <c r="G138" s="9">
        <f t="shared" si="129"/>
        <v>-2282.84881681363</v>
      </c>
      <c r="H138" s="9">
        <f t="shared" si="130"/>
        <v>12968.817838825486</v>
      </c>
      <c r="I138" s="455">
        <f t="shared" si="131"/>
        <v>-8437.4409492594987</v>
      </c>
      <c r="J138" s="363"/>
      <c r="K138" s="363"/>
      <c r="L138" s="363"/>
      <c r="M138" s="363"/>
      <c r="N138" s="363"/>
      <c r="O138" s="363"/>
      <c r="P138" s="363"/>
    </row>
    <row r="139" spans="3:16">
      <c r="C139" s="163">
        <f t="shared" si="126"/>
        <v>2023</v>
      </c>
      <c r="D139" s="194">
        <f t="shared" si="127"/>
        <v>0.02</v>
      </c>
      <c r="E139" s="8">
        <f t="shared" si="125"/>
        <v>15283.775427545725</v>
      </c>
      <c r="F139" s="9">
        <f t="shared" si="128"/>
        <v>17885.205781901801</v>
      </c>
      <c r="G139" s="9">
        <f t="shared" si="129"/>
        <v>-2601.4303543560764</v>
      </c>
      <c r="H139" s="9">
        <f t="shared" si="130"/>
        <v>12682.345073189648</v>
      </c>
      <c r="I139" s="455">
        <f t="shared" si="131"/>
        <v>-11038.871303615575</v>
      </c>
      <c r="J139" s="363"/>
      <c r="K139" s="363"/>
      <c r="L139" s="363"/>
      <c r="M139" s="363"/>
      <c r="N139" s="363"/>
      <c r="O139" s="363"/>
      <c r="P139" s="363"/>
    </row>
    <row r="140" spans="3:16">
      <c r="C140" s="163">
        <f t="shared" si="126"/>
        <v>2024</v>
      </c>
      <c r="D140" s="194">
        <f t="shared" si="127"/>
        <v>0.02</v>
      </c>
      <c r="E140" s="8">
        <f t="shared" si="125"/>
        <v>15315.951796866873</v>
      </c>
      <c r="F140" s="9">
        <f t="shared" si="128"/>
        <v>18242.909897539837</v>
      </c>
      <c r="G140" s="9">
        <f t="shared" si="129"/>
        <v>-2926.9581006729641</v>
      </c>
      <c r="H140" s="9">
        <f t="shared" si="130"/>
        <v>12388.993696193909</v>
      </c>
      <c r="I140" s="455">
        <f t="shared" si="131"/>
        <v>-13965.829404288539</v>
      </c>
      <c r="J140" s="363"/>
      <c r="K140" s="363"/>
      <c r="L140" s="363"/>
      <c r="M140" s="363"/>
      <c r="N140" s="363"/>
      <c r="O140" s="363"/>
      <c r="P140" s="363"/>
    </row>
    <row r="141" spans="3:16">
      <c r="C141" s="163">
        <f t="shared" si="126"/>
        <v>2025</v>
      </c>
      <c r="D141" s="194">
        <f t="shared" si="127"/>
        <v>0.02</v>
      </c>
      <c r="E141" s="8">
        <f t="shared" si="125"/>
        <v>15348.195905912909</v>
      </c>
      <c r="F141" s="9">
        <f t="shared" si="128"/>
        <v>18607.768095490635</v>
      </c>
      <c r="G141" s="9">
        <f t="shared" si="129"/>
        <v>-3259.572189577726</v>
      </c>
      <c r="H141" s="9">
        <f t="shared" si="130"/>
        <v>12088.623716335183</v>
      </c>
      <c r="I141" s="455">
        <f t="shared" si="131"/>
        <v>-17225.401593866263</v>
      </c>
      <c r="J141" s="363"/>
      <c r="K141" s="363"/>
      <c r="L141" s="363"/>
      <c r="M141" s="363"/>
      <c r="N141" s="363"/>
      <c r="O141" s="363"/>
      <c r="P141" s="363"/>
    </row>
    <row r="142" spans="3:16">
      <c r="C142" s="163">
        <f t="shared" si="126"/>
        <v>2026</v>
      </c>
      <c r="D142" s="194">
        <f t="shared" si="127"/>
        <v>0.02</v>
      </c>
      <c r="E142" s="8">
        <f t="shared" si="125"/>
        <v>15380.507897293779</v>
      </c>
      <c r="F142" s="9">
        <f t="shared" si="128"/>
        <v>18979.923457400448</v>
      </c>
      <c r="G142" s="9">
        <f t="shared" si="129"/>
        <v>-3599.4155601066686</v>
      </c>
      <c r="H142" s="9">
        <f t="shared" si="130"/>
        <v>11781.09233718711</v>
      </c>
      <c r="I142" s="455">
        <f t="shared" si="131"/>
        <v>-20824.81715397293</v>
      </c>
      <c r="J142" s="363"/>
      <c r="K142" s="363"/>
      <c r="L142" s="363"/>
      <c r="M142" s="363"/>
      <c r="N142" s="363"/>
      <c r="O142" s="363"/>
      <c r="P142" s="363"/>
    </row>
    <row r="143" spans="3:16">
      <c r="C143" s="163">
        <f t="shared" si="126"/>
        <v>2027</v>
      </c>
      <c r="D143" s="194">
        <f t="shared" si="127"/>
        <v>0.02</v>
      </c>
      <c r="E143" s="8">
        <f t="shared" si="125"/>
        <v>15412.887913919662</v>
      </c>
      <c r="F143" s="9">
        <f t="shared" si="128"/>
        <v>19359.521926548456</v>
      </c>
      <c r="G143" s="9">
        <f t="shared" si="129"/>
        <v>-3946.6340126287942</v>
      </c>
      <c r="H143" s="9">
        <f t="shared" si="130"/>
        <v>11466.253901290867</v>
      </c>
      <c r="I143" s="455">
        <f t="shared" si="131"/>
        <v>-24771.451166601724</v>
      </c>
      <c r="J143" s="363"/>
      <c r="K143" s="363"/>
      <c r="L143" s="363"/>
      <c r="M143" s="363"/>
      <c r="N143" s="363"/>
      <c r="O143" s="363"/>
      <c r="P143" s="363"/>
    </row>
    <row r="144" spans="3:16">
      <c r="C144" s="163">
        <f t="shared" si="126"/>
        <v>2028</v>
      </c>
      <c r="D144" s="194">
        <f t="shared" si="127"/>
        <v>0.02</v>
      </c>
      <c r="E144" s="8">
        <f t="shared" si="125"/>
        <v>15445.336099001597</v>
      </c>
      <c r="F144" s="9">
        <f t="shared" si="128"/>
        <v>19746.712365079424</v>
      </c>
      <c r="G144" s="9">
        <f t="shared" si="129"/>
        <v>-4301.3762660778266</v>
      </c>
      <c r="H144" s="9">
        <f t="shared" si="130"/>
        <v>11143.959832923771</v>
      </c>
      <c r="I144" s="455">
        <f t="shared" si="131"/>
        <v>-29072.827432679551</v>
      </c>
      <c r="J144" s="363"/>
      <c r="K144" s="363"/>
      <c r="L144" s="363"/>
      <c r="M144" s="363"/>
      <c r="N144" s="363"/>
      <c r="O144" s="363"/>
      <c r="P144" s="363"/>
    </row>
    <row r="145" spans="3:16">
      <c r="C145" s="163">
        <f t="shared" si="126"/>
        <v>2029</v>
      </c>
      <c r="D145" s="194">
        <f t="shared" si="127"/>
        <v>0.02</v>
      </c>
      <c r="E145" s="8">
        <f t="shared" si="125"/>
        <v>15477.852596052127</v>
      </c>
      <c r="F145" s="9">
        <f t="shared" si="128"/>
        <v>20141.646612381013</v>
      </c>
      <c r="G145" s="9">
        <f t="shared" si="129"/>
        <v>-4663.7940163288858</v>
      </c>
      <c r="H145" s="9">
        <f t="shared" si="130"/>
        <v>10814.058579723242</v>
      </c>
      <c r="I145" s="455">
        <f t="shared" si="131"/>
        <v>-33736.621449008439</v>
      </c>
      <c r="J145" s="363"/>
      <c r="K145" s="363"/>
      <c r="L145" s="363"/>
      <c r="M145" s="363"/>
      <c r="N145" s="363"/>
      <c r="O145" s="363"/>
      <c r="P145" s="363"/>
    </row>
    <row r="146" spans="3:16">
      <c r="C146" s="163">
        <f t="shared" si="126"/>
        <v>2030</v>
      </c>
      <c r="D146" s="194">
        <f t="shared" si="127"/>
        <v>0.02</v>
      </c>
      <c r="E146" s="8">
        <f t="shared" si="125"/>
        <v>15510.43754888592</v>
      </c>
      <c r="F146" s="9">
        <f t="shared" si="128"/>
        <v>20544.479544628633</v>
      </c>
      <c r="G146" s="9">
        <f t="shared" si="129"/>
        <v>-5034.041995742713</v>
      </c>
      <c r="H146" s="9">
        <f t="shared" si="130"/>
        <v>10476.395553143208</v>
      </c>
      <c r="I146" s="455">
        <f t="shared" si="131"/>
        <v>-38770.663444751153</v>
      </c>
      <c r="J146" s="363"/>
      <c r="K146" s="363"/>
      <c r="L146" s="363"/>
      <c r="M146" s="363"/>
      <c r="N146" s="363"/>
      <c r="O146" s="363"/>
      <c r="P146" s="363"/>
    </row>
    <row r="147" spans="3:16">
      <c r="C147" s="163">
        <f t="shared" si="126"/>
        <v>2031</v>
      </c>
      <c r="D147" s="194">
        <f t="shared" si="127"/>
        <v>0.02</v>
      </c>
      <c r="E147" s="8">
        <f t="shared" si="125"/>
        <v>15543.091101620417</v>
      </c>
      <c r="F147" s="9">
        <f t="shared" si="128"/>
        <v>20955.369135521207</v>
      </c>
      <c r="G147" s="9">
        <f t="shared" si="129"/>
        <v>-5412.2780339007895</v>
      </c>
      <c r="H147" s="9">
        <f t="shared" si="130"/>
        <v>10130.813067719628</v>
      </c>
      <c r="I147" s="455">
        <f t="shared" si="131"/>
        <v>-44182.941478651941</v>
      </c>
      <c r="J147" s="363"/>
      <c r="K147" s="363"/>
      <c r="L147" s="363"/>
      <c r="M147" s="363"/>
      <c r="N147" s="363"/>
      <c r="O147" s="363"/>
      <c r="P147" s="363"/>
    </row>
    <row r="148" spans="3:16">
      <c r="C148" s="163">
        <f t="shared" si="126"/>
        <v>2032</v>
      </c>
      <c r="D148" s="194">
        <f t="shared" si="127"/>
        <v>0.02</v>
      </c>
      <c r="E148" s="8">
        <f t="shared" si="125"/>
        <v>15575.813398676461</v>
      </c>
      <c r="F148" s="9">
        <f t="shared" si="128"/>
        <v>21374.47651823163</v>
      </c>
      <c r="G148" s="9">
        <f t="shared" si="129"/>
        <v>-5798.663119555169</v>
      </c>
      <c r="H148" s="9">
        <f t="shared" si="130"/>
        <v>9777.1502791212915</v>
      </c>
      <c r="I148" s="455">
        <f t="shared" si="131"/>
        <v>-49981.604598207108</v>
      </c>
      <c r="J148" s="363"/>
      <c r="K148" s="363"/>
      <c r="L148" s="363"/>
      <c r="M148" s="363"/>
      <c r="N148" s="363"/>
      <c r="O148" s="363"/>
      <c r="P148" s="363"/>
    </row>
    <row r="149" spans="3:16">
      <c r="C149" s="163">
        <f t="shared" si="126"/>
        <v>2033</v>
      </c>
      <c r="D149" s="194">
        <f t="shared" si="127"/>
        <v>0.02</v>
      </c>
      <c r="E149" s="8">
        <f t="shared" si="125"/>
        <v>15608.604584778937</v>
      </c>
      <c r="F149" s="9">
        <f t="shared" si="128"/>
        <v>21801.966048596263</v>
      </c>
      <c r="G149" s="9">
        <f t="shared" si="129"/>
        <v>-6193.3614638173258</v>
      </c>
      <c r="H149" s="9">
        <f t="shared" si="130"/>
        <v>9415.2431209616116</v>
      </c>
      <c r="I149" s="455">
        <f t="shared" si="131"/>
        <v>-56174.966062024432</v>
      </c>
      <c r="J149" s="363"/>
      <c r="K149" s="363"/>
      <c r="L149" s="363"/>
      <c r="M149" s="363"/>
      <c r="N149" s="363"/>
      <c r="O149" s="363"/>
      <c r="P149" s="363"/>
    </row>
    <row r="150" spans="3:16">
      <c r="C150" s="163">
        <f t="shared" si="126"/>
        <v>2034</v>
      </c>
      <c r="D150" s="194">
        <f t="shared" si="127"/>
        <v>0.02</v>
      </c>
      <c r="E150" s="8">
        <f t="shared" si="125"/>
        <v>15641.464804957419</v>
      </c>
      <c r="F150" s="9">
        <f t="shared" si="128"/>
        <v>22238.005369568189</v>
      </c>
      <c r="G150" s="9">
        <f t="shared" si="129"/>
        <v>-6596.5405646107702</v>
      </c>
      <c r="H150" s="9">
        <f t="shared" si="130"/>
        <v>9044.9242403466487</v>
      </c>
      <c r="I150" s="455">
        <f t="shared" si="131"/>
        <v>-62771.506626635201</v>
      </c>
      <c r="J150" s="363"/>
      <c r="K150" s="363"/>
      <c r="L150" s="363"/>
      <c r="M150" s="363"/>
      <c r="N150" s="363"/>
      <c r="O150" s="363"/>
      <c r="P150" s="363"/>
    </row>
    <row r="151" spans="3:16">
      <c r="C151" s="163">
        <f t="shared" si="126"/>
        <v>2035</v>
      </c>
      <c r="D151" s="194">
        <f t="shared" si="127"/>
        <v>0.02</v>
      </c>
      <c r="E151" s="8">
        <f t="shared" si="125"/>
        <v>15674.394204546803</v>
      </c>
      <c r="F151" s="9">
        <f t="shared" si="128"/>
        <v>22682.765476959554</v>
      </c>
      <c r="G151" s="9">
        <f t="shared" si="129"/>
        <v>-7008.3712724127508</v>
      </c>
      <c r="H151" s="9">
        <f t="shared" si="130"/>
        <v>8666.0229321340521</v>
      </c>
      <c r="I151" s="455">
        <f t="shared" si="131"/>
        <v>-69779.877899047948</v>
      </c>
      <c r="J151" s="363"/>
      <c r="K151" s="363"/>
      <c r="L151" s="363"/>
      <c r="M151" s="363"/>
      <c r="N151" s="363"/>
      <c r="O151" s="363"/>
      <c r="P151" s="363"/>
    </row>
    <row r="152" spans="3:16">
      <c r="C152" s="163">
        <f t="shared" si="126"/>
        <v>2036</v>
      </c>
      <c r="D152" s="194">
        <f t="shared" si="127"/>
        <v>0.02</v>
      </c>
      <c r="E152" s="8">
        <f t="shared" si="125"/>
        <v>15707.392929187954</v>
      </c>
      <c r="F152" s="9">
        <f t="shared" si="128"/>
        <v>23136.420786498744</v>
      </c>
      <c r="G152" s="9">
        <f t="shared" si="129"/>
        <v>-7429.0278573107898</v>
      </c>
      <c r="H152" s="9">
        <f t="shared" si="130"/>
        <v>8278.3650718771642</v>
      </c>
      <c r="I152" s="455">
        <f t="shared" si="131"/>
        <v>-77208.905756358741</v>
      </c>
      <c r="J152" s="363"/>
      <c r="K152" s="363"/>
      <c r="L152" s="363"/>
      <c r="M152" s="363"/>
      <c r="N152" s="363"/>
      <c r="O152" s="363"/>
      <c r="P152" s="363"/>
    </row>
    <row r="153" spans="3:16">
      <c r="C153" s="163">
        <f t="shared" si="126"/>
        <v>2037</v>
      </c>
      <c r="D153" s="194">
        <f t="shared" si="127"/>
        <v>0.02</v>
      </c>
      <c r="E153" s="8">
        <f t="shared" si="125"/>
        <v>15740.461124828349</v>
      </c>
      <c r="F153" s="9">
        <f t="shared" si="128"/>
        <v>23599.14920222872</v>
      </c>
      <c r="G153" s="9">
        <f t="shared" si="129"/>
        <v>-7858.6880774003712</v>
      </c>
      <c r="H153" s="9">
        <f t="shared" si="130"/>
        <v>7881.7730474279779</v>
      </c>
      <c r="I153" s="455">
        <f t="shared" si="131"/>
        <v>-85067.593833759107</v>
      </c>
      <c r="J153" s="363"/>
      <c r="K153" s="363"/>
      <c r="L153" s="363"/>
      <c r="M153" s="363"/>
      <c r="N153" s="363"/>
      <c r="O153" s="363"/>
      <c r="P153" s="363"/>
    </row>
    <row r="154" spans="3:16">
      <c r="C154" s="163">
        <f t="shared" si="126"/>
        <v>2038</v>
      </c>
      <c r="D154" s="194">
        <f t="shared" si="127"/>
        <v>0.02</v>
      </c>
      <c r="E154" s="8">
        <f t="shared" si="125"/>
        <v>15773.598937722725</v>
      </c>
      <c r="F154" s="9">
        <f t="shared" si="128"/>
        <v>24071.132186273295</v>
      </c>
      <c r="G154" s="9">
        <f t="shared" si="129"/>
        <v>-8297.5332485505696</v>
      </c>
      <c r="H154" s="9">
        <f t="shared" si="130"/>
        <v>7476.0656891721555</v>
      </c>
      <c r="I154" s="455">
        <f t="shared" si="131"/>
        <v>-93365.127082309671</v>
      </c>
      <c r="J154" s="363"/>
      <c r="K154" s="363"/>
      <c r="L154" s="363"/>
      <c r="M154" s="363"/>
      <c r="N154" s="363"/>
      <c r="O154" s="363"/>
      <c r="P154" s="363"/>
    </row>
    <row r="155" spans="3:16">
      <c r="C155" s="163">
        <f t="shared" si="126"/>
        <v>2039</v>
      </c>
      <c r="D155" s="194">
        <f t="shared" si="127"/>
        <v>0.02</v>
      </c>
      <c r="E155" s="8">
        <f t="shared" si="125"/>
        <v>15806.80651443372</v>
      </c>
      <c r="F155" s="9">
        <f t="shared" si="128"/>
        <v>24552.55482999876</v>
      </c>
      <c r="G155" s="9">
        <f t="shared" si="129"/>
        <v>-8745.7483155650407</v>
      </c>
      <c r="H155" s="9">
        <f t="shared" si="130"/>
        <v>7061.058198868679</v>
      </c>
      <c r="I155" s="455">
        <f t="shared" si="131"/>
        <v>-102110.87539787471</v>
      </c>
      <c r="J155" s="363"/>
      <c r="K155" s="363"/>
      <c r="L155" s="363"/>
      <c r="M155" s="363"/>
      <c r="N155" s="363"/>
      <c r="O155" s="363"/>
      <c r="P155" s="363"/>
    </row>
    <row r="156" spans="3:16">
      <c r="C156" s="163">
        <f t="shared" si="126"/>
        <v>2040</v>
      </c>
      <c r="D156" s="194">
        <f t="shared" si="127"/>
        <v>0.02</v>
      </c>
      <c r="E156" s="8">
        <f t="shared" si="125"/>
        <v>15840.084001832527</v>
      </c>
      <c r="F156" s="9">
        <f t="shared" si="128"/>
        <v>25043.605926598735</v>
      </c>
      <c r="G156" s="9">
        <f t="shared" si="129"/>
        <v>-9203.521924766208</v>
      </c>
      <c r="H156" s="9">
        <f t="shared" si="130"/>
        <v>6636.562077066319</v>
      </c>
      <c r="I156" s="455">
        <f t="shared" si="131"/>
        <v>-111314.39732264091</v>
      </c>
      <c r="J156" s="363"/>
      <c r="K156" s="363"/>
      <c r="L156" s="363"/>
      <c r="M156" s="363"/>
      <c r="N156" s="363"/>
      <c r="O156" s="363"/>
      <c r="P156" s="363"/>
    </row>
    <row r="157" spans="3:16">
      <c r="C157" s="163">
        <f t="shared" si="126"/>
        <v>2041</v>
      </c>
      <c r="D157" s="194">
        <f t="shared" si="127"/>
        <v>0.02</v>
      </c>
      <c r="E157" s="8">
        <f t="shared" si="125"/>
        <v>15873.431547099543</v>
      </c>
      <c r="F157" s="9">
        <f t="shared" si="128"/>
        <v>25544.478045130709</v>
      </c>
      <c r="G157" s="9">
        <f t="shared" si="129"/>
        <v>-9671.0464980311663</v>
      </c>
      <c r="H157" s="9">
        <f t="shared" si="130"/>
        <v>6202.3850490683762</v>
      </c>
      <c r="I157" s="455">
        <f t="shared" si="131"/>
        <v>-120985.44382067208</v>
      </c>
      <c r="J157" s="363"/>
      <c r="K157" s="363"/>
      <c r="L157" s="363"/>
      <c r="M157" s="363"/>
      <c r="N157" s="363"/>
      <c r="O157" s="363"/>
      <c r="P157" s="363"/>
    </row>
    <row r="158" spans="3:16">
      <c r="C158" s="163">
        <f t="shared" si="126"/>
        <v>2042</v>
      </c>
      <c r="D158" s="194">
        <f t="shared" si="127"/>
        <v>0.02</v>
      </c>
      <c r="E158" s="8">
        <f t="shared" si="125"/>
        <v>15906.849297725015</v>
      </c>
      <c r="F158" s="9">
        <f t="shared" si="128"/>
        <v>26055.367606033324</v>
      </c>
      <c r="G158" s="9">
        <f t="shared" si="129"/>
        <v>-10148.518308308308</v>
      </c>
      <c r="H158" s="9">
        <f t="shared" si="130"/>
        <v>5758.3309894167069</v>
      </c>
      <c r="I158" s="455">
        <f t="shared" si="131"/>
        <v>-131133.96212898038</v>
      </c>
      <c r="J158" s="363"/>
      <c r="K158" s="363"/>
      <c r="L158" s="363"/>
      <c r="M158" s="363"/>
      <c r="N158" s="363"/>
      <c r="O158" s="363"/>
      <c r="P158" s="363"/>
    </row>
    <row r="159" spans="3:16">
      <c r="C159" s="163">
        <f t="shared" si="126"/>
        <v>2043</v>
      </c>
      <c r="D159" s="194">
        <f t="shared" si="127"/>
        <v>0.02</v>
      </c>
      <c r="E159" s="8">
        <f t="shared" si="125"/>
        <v>15940.3374015097</v>
      </c>
      <c r="F159" s="9">
        <f t="shared" si="128"/>
        <v>26576.474958153991</v>
      </c>
      <c r="G159" s="9">
        <f t="shared" si="129"/>
        <v>-10636.137556644291</v>
      </c>
      <c r="H159" s="9">
        <f t="shared" si="130"/>
        <v>5304.1998448654085</v>
      </c>
      <c r="I159" s="455">
        <f t="shared" si="131"/>
        <v>-141770.09968562468</v>
      </c>
      <c r="J159" s="363"/>
      <c r="K159" s="363"/>
      <c r="L159" s="363"/>
      <c r="M159" s="363"/>
      <c r="N159" s="363"/>
      <c r="O159" s="363"/>
      <c r="P159" s="363"/>
    </row>
    <row r="160" spans="3:16">
      <c r="C160" s="163">
        <f t="shared" si="126"/>
        <v>2044</v>
      </c>
      <c r="D160" s="194">
        <f t="shared" si="127"/>
        <v>0.02</v>
      </c>
      <c r="E160" s="8">
        <f t="shared" si="125"/>
        <v>15973.89600656551</v>
      </c>
      <c r="F160" s="9">
        <f t="shared" si="128"/>
        <v>27108.004457317071</v>
      </c>
      <c r="G160" s="9">
        <f t="shared" si="129"/>
        <v>-11134.108450751561</v>
      </c>
      <c r="H160" s="9">
        <f t="shared" si="130"/>
        <v>4839.7875558139494</v>
      </c>
      <c r="I160" s="455">
        <f t="shared" si="131"/>
        <v>-152904.20813637623</v>
      </c>
      <c r="J160" s="363"/>
      <c r="K160" s="363"/>
      <c r="L160" s="363"/>
      <c r="M160" s="363"/>
      <c r="N160" s="363"/>
      <c r="O160" s="363"/>
      <c r="P160" s="363"/>
    </row>
    <row r="161" spans="3:16">
      <c r="C161" s="163">
        <f t="shared" si="126"/>
        <v>2045</v>
      </c>
      <c r="D161" s="194">
        <f t="shared" si="127"/>
        <v>0.02</v>
      </c>
      <c r="E161" s="8">
        <f t="shared" si="125"/>
        <v>16007.525261316174</v>
      </c>
      <c r="F161" s="9">
        <f t="shared" si="128"/>
        <v>27650.164546463413</v>
      </c>
      <c r="G161" s="9">
        <f t="shared" si="129"/>
        <v>-11642.639285147239</v>
      </c>
      <c r="H161" s="9">
        <f t="shared" si="130"/>
        <v>4364.8859761689346</v>
      </c>
      <c r="I161" s="455">
        <f t="shared" si="131"/>
        <v>-164546.84742152347</v>
      </c>
      <c r="J161" s="363"/>
      <c r="K161" s="363"/>
      <c r="L161" s="363"/>
      <c r="M161" s="363"/>
      <c r="N161" s="363"/>
      <c r="O161" s="363"/>
      <c r="P161" s="363"/>
    </row>
    <row r="162" spans="3:16">
      <c r="C162" s="163">
        <f t="shared" ref="C162" si="132">C47</f>
        <v>2046</v>
      </c>
      <c r="D162" s="194">
        <f t="shared" ref="D162" si="133">G47</f>
        <v>0.02</v>
      </c>
      <c r="E162" s="8">
        <f t="shared" ref="E162" si="134">O47</f>
        <v>16041.225314497891</v>
      </c>
      <c r="F162" s="9">
        <f t="shared" ref="F162" si="135">I47</f>
        <v>28203.167837392681</v>
      </c>
      <c r="G162" s="9">
        <f t="shared" ref="G162" si="136">Q47</f>
        <v>-12161.942522894789</v>
      </c>
      <c r="H162" s="9">
        <f t="shared" si="130"/>
        <v>3879.2827916031019</v>
      </c>
      <c r="I162" s="455">
        <f t="shared" si="131"/>
        <v>-176708.78994441827</v>
      </c>
      <c r="J162" s="363"/>
      <c r="K162" s="363"/>
      <c r="L162" s="363"/>
      <c r="M162" s="363"/>
      <c r="N162" s="363"/>
      <c r="O162" s="363"/>
      <c r="P162" s="363"/>
    </row>
  </sheetData>
  <sheetProtection algorithmName="SHA-512" hashValue="2ffeQUmISwQjm2COGt4lZZe4tntQVLNuNM59Gf74+CNv/0XqeUPx/5P7OLzdaASRTgJGkVKFUyP5K9zzszVPSA==" saltValue="BD7L91pfjBY+b7cYm1g+VQ==" spinCount="100000" sheet="1" objects="1" scenarios="1"/>
  <mergeCells count="54">
    <mergeCell ref="AT54:AW54"/>
    <mergeCell ref="BA54:BD54"/>
    <mergeCell ref="E2:I2"/>
    <mergeCell ref="U54:Y54"/>
    <mergeCell ref="AB54:AE54"/>
    <mergeCell ref="AH54:AK54"/>
    <mergeCell ref="AN54:AQ54"/>
    <mergeCell ref="AS48:AT48"/>
    <mergeCell ref="AS49:AT49"/>
    <mergeCell ref="AZ51:BB51"/>
    <mergeCell ref="AR11:AW11"/>
    <mergeCell ref="AG51:AI51"/>
    <mergeCell ref="M11:R11"/>
    <mergeCell ref="T11:X11"/>
    <mergeCell ref="AA51:AC51"/>
    <mergeCell ref="E4:T4"/>
    <mergeCell ref="T48:U48"/>
    <mergeCell ref="T6:U6"/>
    <mergeCell ref="C48:E48"/>
    <mergeCell ref="J11:K11"/>
    <mergeCell ref="H16:I16"/>
    <mergeCell ref="BX13:BZ13"/>
    <mergeCell ref="BV13:BW13"/>
    <mergeCell ref="H11:I11"/>
    <mergeCell ref="H12:I12"/>
    <mergeCell ref="BL11:BO11"/>
    <mergeCell ref="BP11:BS11"/>
    <mergeCell ref="BV11:BZ11"/>
    <mergeCell ref="BX12:BZ12"/>
    <mergeCell ref="BV12:BW12"/>
    <mergeCell ref="C132:D132"/>
    <mergeCell ref="D62:G62"/>
    <mergeCell ref="AL11:AP11"/>
    <mergeCell ref="AS51:AU51"/>
    <mergeCell ref="T49:U49"/>
    <mergeCell ref="M49:N49"/>
    <mergeCell ref="Z48:AA48"/>
    <mergeCell ref="Z49:AA49"/>
    <mergeCell ref="AF48:AG48"/>
    <mergeCell ref="AF49:AG49"/>
    <mergeCell ref="AL48:AM48"/>
    <mergeCell ref="AL49:AM49"/>
    <mergeCell ref="AF11:AJ11"/>
    <mergeCell ref="AM51:AO51"/>
    <mergeCell ref="H13:I13"/>
    <mergeCell ref="M48:N48"/>
    <mergeCell ref="B15:B17"/>
    <mergeCell ref="AG10:AK10"/>
    <mergeCell ref="AZ11:BC11"/>
    <mergeCell ref="BD11:BG11"/>
    <mergeCell ref="BH11:BK11"/>
    <mergeCell ref="Z11:AD11"/>
    <mergeCell ref="C11:G13"/>
    <mergeCell ref="AA10:AE10"/>
  </mergeCells>
  <conditionalFormatting sqref="R48">
    <cfRule type="cellIs" dxfId="123" priority="528" operator="lessThan">
      <formula>0</formula>
    </cfRule>
  </conditionalFormatting>
  <conditionalFormatting sqref="X48">
    <cfRule type="cellIs" dxfId="122" priority="522" operator="lessThan">
      <formula>0</formula>
    </cfRule>
  </conditionalFormatting>
  <conditionalFormatting sqref="AD48">
    <cfRule type="cellIs" dxfId="121" priority="521" operator="lessThan">
      <formula>0</formula>
    </cfRule>
  </conditionalFormatting>
  <conditionalFormatting sqref="AJ48">
    <cfRule type="cellIs" dxfId="120" priority="515" operator="lessThan">
      <formula>0</formula>
    </cfRule>
  </conditionalFormatting>
  <conditionalFormatting sqref="AP48">
    <cfRule type="cellIs" dxfId="119" priority="512" operator="lessThan">
      <formula>0</formula>
    </cfRule>
  </conditionalFormatting>
  <conditionalFormatting sqref="AW48">
    <cfRule type="cellIs" dxfId="118" priority="488" operator="lessThan">
      <formula>0</formula>
    </cfRule>
  </conditionalFormatting>
  <conditionalFormatting sqref="M18:M47">
    <cfRule type="cellIs" dxfId="117" priority="137" operator="equal">
      <formula>0</formula>
    </cfRule>
    <cfRule type="cellIs" dxfId="116" priority="138" operator="lessThan">
      <formula>0</formula>
    </cfRule>
    <cfRule type="cellIs" dxfId="115" priority="139" operator="greaterThan">
      <formula>0</formula>
    </cfRule>
  </conditionalFormatting>
  <conditionalFormatting sqref="T18">
    <cfRule type="cellIs" dxfId="114" priority="134" operator="equal">
      <formula>0</formula>
    </cfRule>
    <cfRule type="cellIs" dxfId="113" priority="135" operator="lessThan">
      <formula>0</formula>
    </cfRule>
    <cfRule type="cellIs" dxfId="112" priority="136" operator="greaterThan">
      <formula>0</formula>
    </cfRule>
  </conditionalFormatting>
  <conditionalFormatting sqref="AS18">
    <cfRule type="cellIs" dxfId="111" priority="84" operator="equal">
      <formula>0</formula>
    </cfRule>
    <cfRule type="cellIs" dxfId="110" priority="85" operator="lessThan">
      <formula>0</formula>
    </cfRule>
    <cfRule type="cellIs" dxfId="109" priority="86" operator="greaterThan">
      <formula>0</formula>
    </cfRule>
  </conditionalFormatting>
  <conditionalFormatting sqref="Z18">
    <cfRule type="cellIs" dxfId="108" priority="122" operator="equal">
      <formula>0</formula>
    </cfRule>
    <cfRule type="cellIs" dxfId="107" priority="123" operator="lessThan">
      <formula>0</formula>
    </cfRule>
    <cfRule type="cellIs" dxfId="106" priority="124" operator="greaterThan">
      <formula>0</formula>
    </cfRule>
  </conditionalFormatting>
  <conditionalFormatting sqref="T19:T47">
    <cfRule type="cellIs" dxfId="105" priority="116" operator="equal">
      <formula>0</formula>
    </cfRule>
    <cfRule type="cellIs" dxfId="104" priority="117" operator="lessThan">
      <formula>0</formula>
    </cfRule>
    <cfRule type="cellIs" dxfId="103" priority="118" operator="greaterThan">
      <formula>0</formula>
    </cfRule>
  </conditionalFormatting>
  <conditionalFormatting sqref="Z19:Z47">
    <cfRule type="cellIs" dxfId="102" priority="113" operator="equal">
      <formula>0</formula>
    </cfRule>
    <cfRule type="cellIs" dxfId="101" priority="114" operator="lessThan">
      <formula>0</formula>
    </cfRule>
    <cfRule type="cellIs" dxfId="100" priority="115" operator="greaterThan">
      <formula>0</formula>
    </cfRule>
  </conditionalFormatting>
  <conditionalFormatting sqref="G17">
    <cfRule type="cellIs" dxfId="99" priority="110" operator="equal">
      <formula>0</formula>
    </cfRule>
    <cfRule type="cellIs" dxfId="98" priority="111" operator="lessThan">
      <formula>0</formula>
    </cfRule>
    <cfRule type="cellIs" dxfId="97" priority="112" operator="greaterThan">
      <formula>0</formula>
    </cfRule>
  </conditionalFormatting>
  <conditionalFormatting sqref="G18:G47">
    <cfRule type="cellIs" dxfId="96" priority="107" operator="equal">
      <formula>0</formula>
    </cfRule>
    <cfRule type="cellIs" dxfId="95" priority="108" operator="lessThan">
      <formula>0</formula>
    </cfRule>
    <cfRule type="cellIs" dxfId="94" priority="109" operator="greaterThan">
      <formula>0</formula>
    </cfRule>
  </conditionalFormatting>
  <conditionalFormatting sqref="AF18">
    <cfRule type="cellIs" dxfId="93" priority="104" operator="equal">
      <formula>0</formula>
    </cfRule>
    <cfRule type="cellIs" dxfId="92" priority="105" operator="lessThan">
      <formula>0</formula>
    </cfRule>
    <cfRule type="cellIs" dxfId="91" priority="106" operator="greaterThan">
      <formula>0</formula>
    </cfRule>
  </conditionalFormatting>
  <conditionalFormatting sqref="AF19:AF47">
    <cfRule type="cellIs" dxfId="90" priority="101" operator="equal">
      <formula>0</formula>
    </cfRule>
    <cfRule type="cellIs" dxfId="89" priority="102" operator="lessThan">
      <formula>0</formula>
    </cfRule>
    <cfRule type="cellIs" dxfId="88" priority="103" operator="greaterThan">
      <formula>0</formula>
    </cfRule>
  </conditionalFormatting>
  <conditionalFormatting sqref="AL18">
    <cfRule type="cellIs" dxfId="87" priority="98" operator="equal">
      <formula>0</formula>
    </cfRule>
    <cfRule type="cellIs" dxfId="86" priority="99" operator="lessThan">
      <formula>0</formula>
    </cfRule>
    <cfRule type="cellIs" dxfId="85" priority="100" operator="greaterThan">
      <formula>0</formula>
    </cfRule>
  </conditionalFormatting>
  <conditionalFormatting sqref="AL19:AL47">
    <cfRule type="cellIs" dxfId="84" priority="95" operator="equal">
      <formula>0</formula>
    </cfRule>
    <cfRule type="cellIs" dxfId="83" priority="96" operator="lessThan">
      <formula>0</formula>
    </cfRule>
    <cfRule type="cellIs" dxfId="82" priority="97" operator="greaterThan">
      <formula>0</formula>
    </cfRule>
  </conditionalFormatting>
  <conditionalFormatting sqref="AS20:AS47">
    <cfRule type="cellIs" dxfId="81" priority="81" operator="equal">
      <formula>0</formula>
    </cfRule>
    <cfRule type="cellIs" dxfId="80" priority="82" operator="lessThan">
      <formula>0</formula>
    </cfRule>
    <cfRule type="cellIs" dxfId="79" priority="83" operator="greaterThan">
      <formula>0</formula>
    </cfRule>
  </conditionalFormatting>
  <conditionalFormatting sqref="AR18">
    <cfRule type="cellIs" dxfId="78" priority="78" operator="equal">
      <formula>0</formula>
    </cfRule>
    <cfRule type="cellIs" dxfId="77" priority="79" operator="lessThan">
      <formula>0</formula>
    </cfRule>
    <cfRule type="cellIs" dxfId="76" priority="80" operator="greaterThan">
      <formula>0</formula>
    </cfRule>
  </conditionalFormatting>
  <conditionalFormatting sqref="AR19:AR47">
    <cfRule type="cellIs" dxfId="75" priority="75" operator="equal">
      <formula>0</formula>
    </cfRule>
    <cfRule type="cellIs" dxfId="74" priority="76" operator="lessThan">
      <formula>0</formula>
    </cfRule>
    <cfRule type="cellIs" dxfId="73" priority="77" operator="greaterThan">
      <formula>0</formula>
    </cfRule>
  </conditionalFormatting>
  <conditionalFormatting sqref="X56:Y61">
    <cfRule type="cellIs" dxfId="72" priority="70" operator="lessThan">
      <formula>0</formula>
    </cfRule>
  </conditionalFormatting>
  <conditionalFormatting sqref="AS19">
    <cfRule type="cellIs" dxfId="71" priority="58" operator="equal">
      <formula>0</formula>
    </cfRule>
    <cfRule type="cellIs" dxfId="70" priority="59" operator="lessThan">
      <formula>0</formula>
    </cfRule>
    <cfRule type="cellIs" dxfId="69" priority="60" operator="greaterThan">
      <formula>0</formula>
    </cfRule>
  </conditionalFormatting>
  <conditionalFormatting sqref="N18">
    <cfRule type="cellIs" dxfId="68" priority="24" operator="lessThan">
      <formula>0.01</formula>
    </cfRule>
  </conditionalFormatting>
  <conditionalFormatting sqref="C18:C47">
    <cfRule type="cellIs" dxfId="67" priority="27" operator="lessThan">
      <formula>$V$6</formula>
    </cfRule>
    <cfRule type="cellIs" dxfId="66" priority="28" operator="greaterThan">
      <formula>$V$6</formula>
    </cfRule>
  </conditionalFormatting>
  <conditionalFormatting sqref="U18">
    <cfRule type="cellIs" dxfId="65" priority="22" operator="lessThan">
      <formula>0.01</formula>
    </cfRule>
  </conditionalFormatting>
  <conditionalFormatting sqref="AA18">
    <cfRule type="cellIs" dxfId="64" priority="21" operator="lessThan">
      <formula>0.01</formula>
    </cfRule>
  </conditionalFormatting>
  <conditionalFormatting sqref="AG18">
    <cfRule type="cellIs" dxfId="63" priority="20" operator="lessThan">
      <formula>0.01</formula>
    </cfRule>
  </conditionalFormatting>
  <conditionalFormatting sqref="AM18">
    <cfRule type="cellIs" dxfId="62" priority="19" operator="lessThan">
      <formula>0.01</formula>
    </cfRule>
  </conditionalFormatting>
  <conditionalFormatting sqref="AT18">
    <cfRule type="cellIs" dxfId="61" priority="18" operator="lessThan">
      <formula>0.01</formula>
    </cfRule>
  </conditionalFormatting>
  <conditionalFormatting sqref="C133:C162">
    <cfRule type="cellIs" dxfId="60" priority="11" operator="equal">
      <formula>$V$6</formula>
    </cfRule>
    <cfRule type="cellIs" dxfId="59" priority="12" operator="greaterThan">
      <formula>$V$6</formula>
    </cfRule>
    <cfRule type="cellIs" dxfId="58" priority="13" operator="lessThan">
      <formula>$V$6</formula>
    </cfRule>
  </conditionalFormatting>
  <conditionalFormatting sqref="G51:G53 H63:H80 G62">
    <cfRule type="cellIs" dxfId="57" priority="9" operator="lessThan">
      <formula>$V$6</formula>
    </cfRule>
    <cfRule type="cellIs" dxfId="56" priority="10" operator="lessThan">
      <formula>$V$6</formula>
    </cfRule>
  </conditionalFormatting>
  <conditionalFormatting sqref="N19:N47">
    <cfRule type="cellIs" dxfId="55" priority="6" operator="lessThan">
      <formula>0.01</formula>
    </cfRule>
  </conditionalFormatting>
  <conditionalFormatting sqref="U19:U47">
    <cfRule type="cellIs" dxfId="54" priority="5" operator="lessThan">
      <formula>0.01</formula>
    </cfRule>
  </conditionalFormatting>
  <conditionalFormatting sqref="AA19:AA47">
    <cfRule type="cellIs" dxfId="53" priority="4" operator="lessThan">
      <formula>0.01</formula>
    </cfRule>
  </conditionalFormatting>
  <conditionalFormatting sqref="AG19:AG47">
    <cfRule type="cellIs" dxfId="52" priority="3" operator="lessThan">
      <formula>0.01</formula>
    </cfRule>
  </conditionalFormatting>
  <conditionalFormatting sqref="AM19:AM47">
    <cfRule type="cellIs" dxfId="51" priority="2" operator="lessThan">
      <formula>0.01</formula>
    </cfRule>
  </conditionalFormatting>
  <conditionalFormatting sqref="AT19:AT47">
    <cfRule type="cellIs" dxfId="50" priority="1" operator="lessThan">
      <formula>0.01</formula>
    </cfRule>
  </conditionalFormatting>
  <pageMargins left="0.70866141732283472" right="0.70866141732283472" top="0.74803149606299213" bottom="0.74803149606299213" header="0.31496062992125984" footer="0.31496062992125984"/>
  <pageSetup paperSize="9" scale="8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2D75-5509-8D42-BCCF-A6057AEA0C4D}">
  <dimension ref="D2:AL98"/>
  <sheetViews>
    <sheetView topLeftCell="J1" zoomScale="80" zoomScaleNormal="80" workbookViewId="0">
      <selection activeCell="G2" sqref="G2"/>
    </sheetView>
  </sheetViews>
  <sheetFormatPr baseColWidth="10" defaultRowHeight="15"/>
  <cols>
    <col min="1" max="1" width="4.33203125" customWidth="1"/>
    <col min="2" max="2" width="4.6640625" customWidth="1"/>
    <col min="3" max="3" width="6.1640625" customWidth="1"/>
    <col min="5" max="5" width="17" customWidth="1"/>
    <col min="6" max="6" width="17.5" customWidth="1"/>
    <col min="8" max="8" width="7.5" customWidth="1"/>
    <col min="9" max="9" width="5.83203125" customWidth="1"/>
    <col min="12" max="12" width="12.33203125" customWidth="1"/>
  </cols>
  <sheetData>
    <row r="2" spans="4:37" ht="16" thickBot="1">
      <c r="H2" t="s">
        <v>12</v>
      </c>
    </row>
    <row r="3" spans="4:37" ht="31" customHeight="1">
      <c r="J3" s="653" t="s">
        <v>156</v>
      </c>
      <c r="K3" s="654"/>
      <c r="L3" s="654"/>
      <c r="M3" s="654"/>
      <c r="N3" s="654"/>
      <c r="O3" s="654"/>
      <c r="P3" s="654"/>
      <c r="Q3" s="654"/>
      <c r="R3" s="654"/>
      <c r="S3" s="654"/>
      <c r="T3" s="654"/>
      <c r="U3" s="654"/>
      <c r="V3" s="655"/>
    </row>
    <row r="4" spans="4:37" ht="15" customHeight="1" thickBot="1">
      <c r="J4" s="656"/>
      <c r="K4" s="657"/>
      <c r="L4" s="657"/>
      <c r="M4" s="657"/>
      <c r="N4" s="657"/>
      <c r="O4" s="657"/>
      <c r="P4" s="657"/>
      <c r="Q4" s="657"/>
      <c r="R4" s="657"/>
      <c r="S4" s="657"/>
      <c r="T4" s="657"/>
      <c r="U4" s="657"/>
      <c r="V4" s="658"/>
      <c r="AD4" s="101"/>
      <c r="AE4" s="101"/>
      <c r="AF4" s="101"/>
      <c r="AG4" s="101"/>
      <c r="AH4" s="101"/>
      <c r="AI4" s="101"/>
      <c r="AJ4" s="101"/>
      <c r="AK4" s="101"/>
    </row>
    <row r="5" spans="4:37" ht="45" customHeight="1" thickBot="1">
      <c r="D5" s="675" t="s">
        <v>159</v>
      </c>
      <c r="E5" s="676"/>
      <c r="F5" s="677"/>
      <c r="J5" s="683" t="s">
        <v>66</v>
      </c>
      <c r="K5" s="684"/>
      <c r="L5" s="535" t="s">
        <v>178</v>
      </c>
      <c r="M5" s="536"/>
      <c r="N5" s="681" t="s">
        <v>130</v>
      </c>
      <c r="O5" s="682"/>
      <c r="P5" s="681" t="s">
        <v>131</v>
      </c>
      <c r="Q5" s="682"/>
      <c r="R5" s="558" t="s">
        <v>132</v>
      </c>
      <c r="S5" s="559"/>
      <c r="T5" s="672" t="s">
        <v>134</v>
      </c>
      <c r="U5" s="673"/>
      <c r="V5" s="674"/>
      <c r="Y5" s="671" t="s">
        <v>177</v>
      </c>
      <c r="Z5" s="671"/>
      <c r="AA5" s="671"/>
      <c r="AB5" s="671"/>
      <c r="AC5" s="671"/>
      <c r="AD5" s="671"/>
      <c r="AE5" s="671"/>
      <c r="AF5" s="671"/>
      <c r="AG5" s="671"/>
      <c r="AH5" s="671"/>
      <c r="AI5" s="671"/>
      <c r="AJ5" s="671"/>
      <c r="AK5" s="671"/>
    </row>
    <row r="6" spans="4:37" ht="54" customHeight="1" thickBot="1">
      <c r="D6" s="678" t="s">
        <v>157</v>
      </c>
      <c r="E6" s="679"/>
      <c r="F6" s="680"/>
      <c r="J6" s="669" t="s">
        <v>30</v>
      </c>
      <c r="K6" s="670"/>
      <c r="L6" s="605" t="s">
        <v>196</v>
      </c>
      <c r="M6" s="607"/>
      <c r="N6" s="667" t="s">
        <v>196</v>
      </c>
      <c r="O6" s="668"/>
      <c r="P6" s="667" t="s">
        <v>196</v>
      </c>
      <c r="Q6" s="668"/>
      <c r="R6" s="620" t="s">
        <v>196</v>
      </c>
      <c r="S6" s="622"/>
      <c r="T6" s="664" t="s">
        <v>196</v>
      </c>
      <c r="U6" s="665"/>
      <c r="V6" s="666"/>
      <c r="Y6" s="663" t="s">
        <v>37</v>
      </c>
      <c r="Z6" s="663"/>
      <c r="AA6" s="663"/>
      <c r="AB6" s="663"/>
      <c r="AC6" s="663"/>
      <c r="AD6" s="101"/>
      <c r="AE6" s="663" t="s">
        <v>38</v>
      </c>
      <c r="AF6" s="663"/>
      <c r="AG6" s="663"/>
      <c r="AH6" s="663"/>
      <c r="AI6" s="663"/>
      <c r="AJ6" s="101"/>
      <c r="AK6" s="101"/>
    </row>
    <row r="7" spans="4:37" ht="32" customHeight="1">
      <c r="D7" s="297" t="s">
        <v>28</v>
      </c>
      <c r="E7" s="661" t="s">
        <v>155</v>
      </c>
      <c r="F7" s="659" t="s">
        <v>158</v>
      </c>
      <c r="J7" s="85" t="s">
        <v>28</v>
      </c>
      <c r="K7" s="80" t="s">
        <v>29</v>
      </c>
      <c r="L7" s="85" t="s">
        <v>28</v>
      </c>
      <c r="M7" s="80" t="s">
        <v>29</v>
      </c>
      <c r="N7" s="85" t="s">
        <v>28</v>
      </c>
      <c r="O7" s="80" t="s">
        <v>29</v>
      </c>
      <c r="P7" s="85" t="s">
        <v>28</v>
      </c>
      <c r="Q7" s="80" t="s">
        <v>29</v>
      </c>
      <c r="R7" s="85" t="s">
        <v>28</v>
      </c>
      <c r="S7" s="80" t="s">
        <v>29</v>
      </c>
      <c r="T7" s="86" t="s">
        <v>28</v>
      </c>
      <c r="U7" s="310" t="s">
        <v>29</v>
      </c>
      <c r="V7" s="36"/>
      <c r="Y7" s="69" t="s">
        <v>28</v>
      </c>
      <c r="Z7" s="102" t="s">
        <v>76</v>
      </c>
      <c r="AA7" s="103" t="s">
        <v>40</v>
      </c>
      <c r="AB7" s="103" t="s">
        <v>41</v>
      </c>
      <c r="AC7" s="104" t="s">
        <v>42</v>
      </c>
      <c r="AD7" s="66"/>
      <c r="AE7" s="69" t="s">
        <v>28</v>
      </c>
      <c r="AF7" s="102" t="s">
        <v>39</v>
      </c>
      <c r="AG7" s="103" t="s">
        <v>40</v>
      </c>
      <c r="AH7" s="103" t="s">
        <v>41</v>
      </c>
      <c r="AI7" s="104" t="s">
        <v>42</v>
      </c>
      <c r="AJ7" s="101"/>
      <c r="AK7" s="105" t="s">
        <v>43</v>
      </c>
    </row>
    <row r="8" spans="4:37">
      <c r="D8" s="297"/>
      <c r="E8" s="662"/>
      <c r="F8" s="660"/>
      <c r="J8" s="85"/>
      <c r="K8" s="80"/>
      <c r="L8" s="85"/>
      <c r="M8" s="80"/>
      <c r="N8" s="85"/>
      <c r="O8" s="80"/>
      <c r="P8" s="85"/>
      <c r="Q8" s="80"/>
      <c r="R8" s="85"/>
      <c r="S8" s="80"/>
      <c r="T8" s="86"/>
      <c r="U8" s="311"/>
      <c r="V8" s="36"/>
      <c r="Y8" s="173"/>
      <c r="Z8" s="174"/>
      <c r="AA8" s="175"/>
      <c r="AB8" s="175"/>
      <c r="AC8" s="176"/>
      <c r="AD8" s="66"/>
      <c r="AE8" s="173"/>
      <c r="AF8" s="174"/>
      <c r="AG8" s="175"/>
      <c r="AH8" s="175"/>
      <c r="AI8" s="176"/>
      <c r="AJ8" s="101"/>
      <c r="AK8" s="177"/>
    </row>
    <row r="9" spans="4:37">
      <c r="D9" s="296">
        <v>1989</v>
      </c>
      <c r="E9" s="298">
        <v>7.0000000000000007E-2</v>
      </c>
      <c r="F9" s="302">
        <v>7.0000000000000007E-2</v>
      </c>
      <c r="J9" s="81">
        <v>1989</v>
      </c>
      <c r="K9" s="88">
        <f>F9</f>
        <v>7.0000000000000007E-2</v>
      </c>
      <c r="L9" s="81">
        <v>1989</v>
      </c>
      <c r="M9" s="82">
        <f>E9</f>
        <v>7.0000000000000007E-2</v>
      </c>
      <c r="N9" s="81">
        <v>1989</v>
      </c>
      <c r="O9" s="82">
        <f>E9</f>
        <v>7.0000000000000007E-2</v>
      </c>
      <c r="P9" s="81">
        <v>1989</v>
      </c>
      <c r="Q9" s="82">
        <f>E9</f>
        <v>7.0000000000000007E-2</v>
      </c>
      <c r="R9" s="81">
        <v>1989</v>
      </c>
      <c r="S9" s="82">
        <f>E9</f>
        <v>7.0000000000000007E-2</v>
      </c>
      <c r="T9" s="188">
        <f>E9</f>
        <v>7.0000000000000007E-2</v>
      </c>
      <c r="U9" s="82">
        <f>S9</f>
        <v>7.0000000000000007E-2</v>
      </c>
      <c r="V9" s="312" t="s">
        <v>34</v>
      </c>
      <c r="Y9" s="70">
        <v>1989</v>
      </c>
      <c r="Z9" s="155">
        <v>7.0000000000000007E-2</v>
      </c>
      <c r="AA9" s="106"/>
      <c r="AB9" s="106"/>
      <c r="AC9" s="107">
        <v>7.8E-2</v>
      </c>
      <c r="AD9" s="101"/>
      <c r="AE9" s="70">
        <v>1989</v>
      </c>
      <c r="AF9" s="108">
        <f>(1+Z9)*$AE$41</f>
        <v>107</v>
      </c>
      <c r="AG9" s="106"/>
      <c r="AH9" s="106"/>
      <c r="AI9" s="109">
        <f>AE41*(1+AC9)</f>
        <v>107.80000000000001</v>
      </c>
      <c r="AJ9" s="101"/>
      <c r="AK9" s="110">
        <f t="shared" ref="AK9:AK17" si="0">AF9/AI9</f>
        <v>0.99257884972170674</v>
      </c>
    </row>
    <row r="10" spans="4:37">
      <c r="D10" s="296">
        <v>1990</v>
      </c>
      <c r="E10" s="299">
        <v>5.8000000000000003E-2</v>
      </c>
      <c r="F10" s="302">
        <v>5.8000000000000003E-2</v>
      </c>
      <c r="J10" s="81">
        <v>1990</v>
      </c>
      <c r="K10" s="88">
        <f t="shared" ref="K10:K39" si="1">F10</f>
        <v>5.8000000000000003E-2</v>
      </c>
      <c r="L10" s="81">
        <v>1990</v>
      </c>
      <c r="M10" s="82">
        <f t="shared" ref="M10:M38" si="2">K10</f>
        <v>5.8000000000000003E-2</v>
      </c>
      <c r="N10" s="81">
        <v>1990</v>
      </c>
      <c r="O10" s="82">
        <f t="shared" ref="O10:O38" si="3">M10</f>
        <v>5.8000000000000003E-2</v>
      </c>
      <c r="P10" s="81">
        <v>1990</v>
      </c>
      <c r="Q10" s="82">
        <f t="shared" ref="Q10:U38" si="4">O10</f>
        <v>5.8000000000000003E-2</v>
      </c>
      <c r="R10" s="81">
        <v>1990</v>
      </c>
      <c r="S10" s="82">
        <f t="shared" si="4"/>
        <v>5.8000000000000003E-2</v>
      </c>
      <c r="T10" s="87">
        <v>1990</v>
      </c>
      <c r="U10" s="82">
        <f t="shared" si="4"/>
        <v>5.8000000000000003E-2</v>
      </c>
      <c r="V10" s="312" t="s">
        <v>34</v>
      </c>
      <c r="Y10" s="71">
        <v>1990</v>
      </c>
      <c r="Z10" s="156">
        <v>5.8000000000000003E-2</v>
      </c>
      <c r="AA10" s="111"/>
      <c r="AB10" s="111"/>
      <c r="AC10" s="112">
        <v>9.5000000000000001E-2</v>
      </c>
      <c r="AD10" s="101"/>
      <c r="AE10" s="71">
        <v>1990</v>
      </c>
      <c r="AF10" s="113">
        <f t="shared" ref="AF10:AF17" si="5">AF9*(1+Z10)</f>
        <v>113.206</v>
      </c>
      <c r="AG10" s="111"/>
      <c r="AH10" s="111"/>
      <c r="AI10" s="114">
        <f t="shared" ref="AI10:AI34" si="6">AI9*(1+AC10)</f>
        <v>118.04100000000001</v>
      </c>
      <c r="AJ10" s="101"/>
      <c r="AK10" s="115">
        <f t="shared" si="0"/>
        <v>0.95903965571284544</v>
      </c>
    </row>
    <row r="11" spans="4:37">
      <c r="D11" s="296">
        <v>1991</v>
      </c>
      <c r="E11" s="299">
        <v>0.1</v>
      </c>
      <c r="F11" s="303">
        <v>0.1</v>
      </c>
      <c r="J11" s="81">
        <v>1991</v>
      </c>
      <c r="K11" s="88">
        <f t="shared" si="1"/>
        <v>0.1</v>
      </c>
      <c r="L11" s="81">
        <v>1991</v>
      </c>
      <c r="M11" s="82">
        <f t="shared" si="2"/>
        <v>0.1</v>
      </c>
      <c r="N11" s="81">
        <v>1991</v>
      </c>
      <c r="O11" s="82">
        <f t="shared" si="3"/>
        <v>0.1</v>
      </c>
      <c r="P11" s="81">
        <v>1991</v>
      </c>
      <c r="Q11" s="82">
        <f t="shared" si="4"/>
        <v>0.1</v>
      </c>
      <c r="R11" s="81">
        <v>1991</v>
      </c>
      <c r="S11" s="82">
        <f t="shared" si="4"/>
        <v>0.1</v>
      </c>
      <c r="T11" s="87">
        <v>1991</v>
      </c>
      <c r="U11" s="82">
        <f t="shared" si="4"/>
        <v>0.1</v>
      </c>
      <c r="V11" s="312" t="s">
        <v>34</v>
      </c>
      <c r="Y11" s="71">
        <v>1991</v>
      </c>
      <c r="Z11" s="157">
        <v>0.1</v>
      </c>
      <c r="AA11" s="111"/>
      <c r="AB11" s="111"/>
      <c r="AC11" s="112">
        <v>5.8999999999999997E-2</v>
      </c>
      <c r="AD11" s="101"/>
      <c r="AE11" s="71">
        <v>1991</v>
      </c>
      <c r="AF11" s="113">
        <f t="shared" si="5"/>
        <v>124.52660000000002</v>
      </c>
      <c r="AG11" s="111"/>
      <c r="AH11" s="111"/>
      <c r="AI11" s="114">
        <f t="shared" si="6"/>
        <v>125.005419</v>
      </c>
      <c r="AJ11" s="101"/>
      <c r="AK11" s="115">
        <f t="shared" si="0"/>
        <v>0.99616961405489157</v>
      </c>
    </row>
    <row r="12" spans="4:37">
      <c r="D12" s="296">
        <v>1992</v>
      </c>
      <c r="E12" s="299">
        <v>4.1000000000000002E-2</v>
      </c>
      <c r="F12" s="303">
        <v>4.1000000000000002E-2</v>
      </c>
      <c r="J12" s="81">
        <v>1992</v>
      </c>
      <c r="K12" s="88">
        <f t="shared" si="1"/>
        <v>4.1000000000000002E-2</v>
      </c>
      <c r="L12" s="81">
        <v>1992</v>
      </c>
      <c r="M12" s="82">
        <f t="shared" si="2"/>
        <v>4.1000000000000002E-2</v>
      </c>
      <c r="N12" s="81">
        <v>1992</v>
      </c>
      <c r="O12" s="82">
        <f t="shared" si="3"/>
        <v>4.1000000000000002E-2</v>
      </c>
      <c r="P12" s="81">
        <v>1992</v>
      </c>
      <c r="Q12" s="82">
        <f t="shared" si="4"/>
        <v>4.1000000000000002E-2</v>
      </c>
      <c r="R12" s="81">
        <v>1992</v>
      </c>
      <c r="S12" s="82">
        <f t="shared" si="4"/>
        <v>4.1000000000000002E-2</v>
      </c>
      <c r="T12" s="87">
        <v>1992</v>
      </c>
      <c r="U12" s="82">
        <f t="shared" si="4"/>
        <v>4.1000000000000002E-2</v>
      </c>
      <c r="V12" s="312" t="s">
        <v>34</v>
      </c>
      <c r="Y12" s="71">
        <v>1992</v>
      </c>
      <c r="Z12" s="157">
        <v>4.1000000000000002E-2</v>
      </c>
      <c r="AA12" s="111"/>
      <c r="AB12" s="111"/>
      <c r="AC12" s="112">
        <v>3.6999999999999998E-2</v>
      </c>
      <c r="AD12" s="101"/>
      <c r="AE12" s="71">
        <v>1992</v>
      </c>
      <c r="AF12" s="113">
        <f t="shared" si="5"/>
        <v>129.6321906</v>
      </c>
      <c r="AG12" s="111"/>
      <c r="AH12" s="111"/>
      <c r="AI12" s="114">
        <f t="shared" si="6"/>
        <v>129.63061950299999</v>
      </c>
      <c r="AJ12" s="101"/>
      <c r="AK12" s="115">
        <f t="shared" si="0"/>
        <v>1.0000121197985941</v>
      </c>
    </row>
    <row r="13" spans="4:37">
      <c r="D13" s="296">
        <v>1993</v>
      </c>
      <c r="E13" s="299">
        <v>1.7000000000000001E-2</v>
      </c>
      <c r="F13" s="303">
        <v>1.7000000000000001E-2</v>
      </c>
      <c r="J13" s="81">
        <v>1993</v>
      </c>
      <c r="K13" s="88">
        <f t="shared" si="1"/>
        <v>1.7000000000000001E-2</v>
      </c>
      <c r="L13" s="81">
        <v>1993</v>
      </c>
      <c r="M13" s="82">
        <f t="shared" si="2"/>
        <v>1.7000000000000001E-2</v>
      </c>
      <c r="N13" s="81">
        <v>1993</v>
      </c>
      <c r="O13" s="82">
        <f t="shared" si="3"/>
        <v>1.7000000000000001E-2</v>
      </c>
      <c r="P13" s="81">
        <v>1993</v>
      </c>
      <c r="Q13" s="82">
        <f t="shared" si="4"/>
        <v>1.7000000000000001E-2</v>
      </c>
      <c r="R13" s="81">
        <v>1993</v>
      </c>
      <c r="S13" s="82">
        <f t="shared" si="4"/>
        <v>1.7000000000000001E-2</v>
      </c>
      <c r="T13" s="87">
        <v>1993</v>
      </c>
      <c r="U13" s="82">
        <f t="shared" si="4"/>
        <v>1.7000000000000001E-2</v>
      </c>
      <c r="V13" s="312" t="s">
        <v>34</v>
      </c>
      <c r="Y13" s="71">
        <v>1993</v>
      </c>
      <c r="Z13" s="157">
        <v>1.7000000000000001E-2</v>
      </c>
      <c r="AA13" s="111"/>
      <c r="AB13" s="111"/>
      <c r="AC13" s="112">
        <v>1.6E-2</v>
      </c>
      <c r="AD13" s="101"/>
      <c r="AE13" s="71">
        <v>1993</v>
      </c>
      <c r="AF13" s="113">
        <f t="shared" si="5"/>
        <v>131.83593784019999</v>
      </c>
      <c r="AG13" s="111"/>
      <c r="AH13" s="111"/>
      <c r="AI13" s="114">
        <f t="shared" si="6"/>
        <v>131.704709415048</v>
      </c>
      <c r="AJ13" s="101"/>
      <c r="AK13" s="115">
        <f t="shared" si="0"/>
        <v>1.0009963836960336</v>
      </c>
    </row>
    <row r="14" spans="4:37">
      <c r="D14" s="296">
        <v>1994</v>
      </c>
      <c r="E14" s="299">
        <v>1.2500000000000001E-2</v>
      </c>
      <c r="F14" s="303">
        <v>1.2500000000000001E-2</v>
      </c>
      <c r="J14" s="81">
        <v>1994</v>
      </c>
      <c r="K14" s="88">
        <f t="shared" si="1"/>
        <v>1.2500000000000001E-2</v>
      </c>
      <c r="L14" s="81">
        <v>1994</v>
      </c>
      <c r="M14" s="82">
        <f t="shared" si="2"/>
        <v>1.2500000000000001E-2</v>
      </c>
      <c r="N14" s="81">
        <v>1994</v>
      </c>
      <c r="O14" s="82">
        <f t="shared" si="3"/>
        <v>1.2500000000000001E-2</v>
      </c>
      <c r="P14" s="81">
        <v>1994</v>
      </c>
      <c r="Q14" s="82">
        <f t="shared" si="4"/>
        <v>1.2500000000000001E-2</v>
      </c>
      <c r="R14" s="81">
        <v>1994</v>
      </c>
      <c r="S14" s="82">
        <f t="shared" si="4"/>
        <v>1.2500000000000001E-2</v>
      </c>
      <c r="T14" s="87">
        <v>1994</v>
      </c>
      <c r="U14" s="88">
        <f t="shared" si="4"/>
        <v>1.2500000000000001E-2</v>
      </c>
      <c r="V14" s="312" t="s">
        <v>34</v>
      </c>
      <c r="Y14" s="71">
        <v>1994</v>
      </c>
      <c r="Z14" s="157">
        <v>1.2500000000000001E-2</v>
      </c>
      <c r="AA14" s="111"/>
      <c r="AB14" s="111"/>
      <c r="AC14" s="112">
        <v>2.4E-2</v>
      </c>
      <c r="AD14" s="101"/>
      <c r="AE14" s="71">
        <v>1994</v>
      </c>
      <c r="AF14" s="113">
        <f t="shared" si="5"/>
        <v>133.48388706320247</v>
      </c>
      <c r="AG14" s="111"/>
      <c r="AH14" s="111"/>
      <c r="AI14" s="114">
        <f t="shared" si="6"/>
        <v>134.86562244100915</v>
      </c>
      <c r="AJ14" s="101"/>
      <c r="AK14" s="115">
        <f t="shared" si="0"/>
        <v>0.98975472509007212</v>
      </c>
    </row>
    <row r="15" spans="4:37">
      <c r="D15" s="296">
        <v>1995</v>
      </c>
      <c r="E15" s="299">
        <v>0</v>
      </c>
      <c r="F15" s="303">
        <v>0</v>
      </c>
      <c r="J15" s="81">
        <v>1995</v>
      </c>
      <c r="K15" s="88">
        <f t="shared" si="1"/>
        <v>0</v>
      </c>
      <c r="L15" s="81">
        <v>1995</v>
      </c>
      <c r="M15" s="82">
        <f t="shared" si="2"/>
        <v>0</v>
      </c>
      <c r="N15" s="81">
        <v>1995</v>
      </c>
      <c r="O15" s="82">
        <f t="shared" si="3"/>
        <v>0</v>
      </c>
      <c r="P15" s="81">
        <v>1995</v>
      </c>
      <c r="Q15" s="82">
        <f t="shared" si="4"/>
        <v>0</v>
      </c>
      <c r="R15" s="81">
        <v>1995</v>
      </c>
      <c r="S15" s="82">
        <f t="shared" si="4"/>
        <v>0</v>
      </c>
      <c r="T15" s="87">
        <v>1995</v>
      </c>
      <c r="U15" s="82">
        <f t="shared" si="4"/>
        <v>0</v>
      </c>
      <c r="V15" s="312" t="s">
        <v>34</v>
      </c>
      <c r="Y15" s="71">
        <v>1995</v>
      </c>
      <c r="Z15" s="157">
        <v>0</v>
      </c>
      <c r="AA15" s="75"/>
      <c r="AB15" s="111"/>
      <c r="AC15" s="112">
        <v>3.5000000000000003E-2</v>
      </c>
      <c r="AD15" s="101"/>
      <c r="AE15" s="71">
        <v>1995</v>
      </c>
      <c r="AF15" s="113">
        <f t="shared" si="5"/>
        <v>133.48388706320247</v>
      </c>
      <c r="AG15" s="75"/>
      <c r="AH15" s="111"/>
      <c r="AI15" s="114">
        <f t="shared" si="6"/>
        <v>139.58591922644447</v>
      </c>
      <c r="AJ15" s="101"/>
      <c r="AK15" s="115">
        <f t="shared" si="0"/>
        <v>0.95628475854113248</v>
      </c>
    </row>
    <row r="16" spans="4:37">
      <c r="D16" s="296">
        <v>1996</v>
      </c>
      <c r="E16" s="299">
        <v>0.03</v>
      </c>
      <c r="F16" s="303">
        <v>0.03</v>
      </c>
      <c r="J16" s="81">
        <v>1996</v>
      </c>
      <c r="K16" s="88">
        <f t="shared" si="1"/>
        <v>0.03</v>
      </c>
      <c r="L16" s="81">
        <v>1996</v>
      </c>
      <c r="M16" s="82">
        <f t="shared" si="2"/>
        <v>0.03</v>
      </c>
      <c r="N16" s="81">
        <v>1996</v>
      </c>
      <c r="O16" s="82">
        <f t="shared" si="3"/>
        <v>0.03</v>
      </c>
      <c r="P16" s="81">
        <v>1996</v>
      </c>
      <c r="Q16" s="82">
        <f t="shared" si="4"/>
        <v>0.03</v>
      </c>
      <c r="R16" s="81">
        <v>1996</v>
      </c>
      <c r="S16" s="82">
        <f t="shared" si="4"/>
        <v>0.03</v>
      </c>
      <c r="T16" s="87">
        <v>1996</v>
      </c>
      <c r="U16" s="82">
        <f t="shared" si="4"/>
        <v>0.03</v>
      </c>
      <c r="V16" s="312" t="s">
        <v>34</v>
      </c>
      <c r="Y16" s="71">
        <v>1996</v>
      </c>
      <c r="Z16" s="157">
        <v>0.03</v>
      </c>
      <c r="AA16" s="111"/>
      <c r="AB16" s="111"/>
      <c r="AC16" s="112">
        <v>2.4E-2</v>
      </c>
      <c r="AD16" s="101"/>
      <c r="AE16" s="71">
        <v>1996</v>
      </c>
      <c r="AF16" s="113">
        <f t="shared" si="5"/>
        <v>137.48840367509854</v>
      </c>
      <c r="AG16" s="111"/>
      <c r="AH16" s="111"/>
      <c r="AI16" s="114">
        <f t="shared" si="6"/>
        <v>142.93598128787914</v>
      </c>
      <c r="AJ16" s="101"/>
      <c r="AK16" s="115">
        <f t="shared" si="0"/>
        <v>0.96188798954820931</v>
      </c>
    </row>
    <row r="17" spans="4:37">
      <c r="D17" s="296">
        <v>1997</v>
      </c>
      <c r="E17" s="300">
        <v>2.8000000000000001E-2</v>
      </c>
      <c r="F17" s="303">
        <v>2.8000000000000001E-2</v>
      </c>
      <c r="J17" s="81">
        <v>1997</v>
      </c>
      <c r="K17" s="88">
        <f t="shared" si="1"/>
        <v>2.8000000000000001E-2</v>
      </c>
      <c r="L17" s="81">
        <v>1997</v>
      </c>
      <c r="M17" s="82">
        <f t="shared" si="2"/>
        <v>2.8000000000000001E-2</v>
      </c>
      <c r="N17" s="81">
        <v>1997</v>
      </c>
      <c r="O17" s="82">
        <f t="shared" si="3"/>
        <v>2.8000000000000001E-2</v>
      </c>
      <c r="P17" s="81">
        <v>1997</v>
      </c>
      <c r="Q17" s="82">
        <f t="shared" si="4"/>
        <v>2.8000000000000001E-2</v>
      </c>
      <c r="R17" s="81">
        <v>1997</v>
      </c>
      <c r="S17" s="82">
        <f t="shared" si="4"/>
        <v>2.8000000000000001E-2</v>
      </c>
      <c r="T17" s="87">
        <v>1997</v>
      </c>
      <c r="U17" s="82">
        <f t="shared" si="4"/>
        <v>2.8000000000000001E-2</v>
      </c>
      <c r="V17" s="312" t="s">
        <v>34</v>
      </c>
      <c r="Y17" s="71">
        <v>1997</v>
      </c>
      <c r="Z17" s="157">
        <v>2.5000000000000001E-2</v>
      </c>
      <c r="AA17" s="111"/>
      <c r="AB17" s="111"/>
      <c r="AC17" s="112">
        <v>3.1E-2</v>
      </c>
      <c r="AD17" s="101"/>
      <c r="AE17" s="71">
        <v>1997</v>
      </c>
      <c r="AF17" s="113">
        <f t="shared" si="5"/>
        <v>140.925613766976</v>
      </c>
      <c r="AG17" s="111"/>
      <c r="AH17" s="111"/>
      <c r="AI17" s="114">
        <f t="shared" si="6"/>
        <v>147.36699670780339</v>
      </c>
      <c r="AJ17" s="101"/>
      <c r="AK17" s="115">
        <f t="shared" si="0"/>
        <v>0.95629019329477649</v>
      </c>
    </row>
    <row r="18" spans="4:37">
      <c r="D18" s="296">
        <v>1998</v>
      </c>
      <c r="E18" s="300">
        <v>3.3000000000000002E-2</v>
      </c>
      <c r="F18" s="303">
        <v>0</v>
      </c>
      <c r="J18" s="81">
        <v>1998</v>
      </c>
      <c r="K18" s="88">
        <f t="shared" si="1"/>
        <v>0</v>
      </c>
      <c r="L18" s="81">
        <v>1998</v>
      </c>
      <c r="M18" s="82">
        <f t="shared" si="2"/>
        <v>0</v>
      </c>
      <c r="N18" s="81">
        <v>1998</v>
      </c>
      <c r="O18" s="82">
        <f t="shared" si="3"/>
        <v>0</v>
      </c>
      <c r="P18" s="81">
        <v>1998</v>
      </c>
      <c r="Q18" s="82">
        <f t="shared" si="4"/>
        <v>0</v>
      </c>
      <c r="R18" s="81">
        <v>1998</v>
      </c>
      <c r="S18" s="82">
        <f t="shared" si="4"/>
        <v>0</v>
      </c>
      <c r="T18" s="87">
        <v>1998</v>
      </c>
      <c r="U18" s="82">
        <f t="shared" si="4"/>
        <v>0</v>
      </c>
      <c r="V18" s="312" t="s">
        <v>34</v>
      </c>
      <c r="Y18" s="71">
        <v>1998</v>
      </c>
      <c r="Z18" s="157">
        <v>0</v>
      </c>
      <c r="AA18" s="75">
        <v>0</v>
      </c>
      <c r="AB18" s="111"/>
      <c r="AC18" s="112">
        <v>3.4000000000000002E-2</v>
      </c>
      <c r="AD18" s="101"/>
      <c r="AE18" s="71">
        <v>1998</v>
      </c>
      <c r="AF18" s="111"/>
      <c r="AG18" s="116">
        <f>AF17*(1+AA18)</f>
        <v>140.925613766976</v>
      </c>
      <c r="AH18" s="111"/>
      <c r="AI18" s="114">
        <f t="shared" si="6"/>
        <v>152.3774745958687</v>
      </c>
      <c r="AJ18" s="101"/>
      <c r="AK18" s="115">
        <f>AG18/AI18</f>
        <v>0.92484544806071234</v>
      </c>
    </row>
    <row r="19" spans="4:37">
      <c r="D19" s="296">
        <v>1999</v>
      </c>
      <c r="E19" s="300">
        <v>2.4E-2</v>
      </c>
      <c r="F19" s="304">
        <v>0.04</v>
      </c>
      <c r="J19" s="81">
        <v>1999</v>
      </c>
      <c r="K19" s="88">
        <f t="shared" si="1"/>
        <v>0.04</v>
      </c>
      <c r="L19" s="81">
        <v>1999</v>
      </c>
      <c r="M19" s="82">
        <f t="shared" si="2"/>
        <v>0.04</v>
      </c>
      <c r="N19" s="81">
        <v>1999</v>
      </c>
      <c r="O19" s="82">
        <f t="shared" si="3"/>
        <v>0.04</v>
      </c>
      <c r="P19" s="81">
        <v>1999</v>
      </c>
      <c r="Q19" s="82">
        <f t="shared" si="4"/>
        <v>0.04</v>
      </c>
      <c r="R19" s="81">
        <v>1999</v>
      </c>
      <c r="S19" s="82">
        <f t="shared" si="4"/>
        <v>0.04</v>
      </c>
      <c r="T19" s="87">
        <v>1999</v>
      </c>
      <c r="U19" s="82">
        <f t="shared" si="4"/>
        <v>0.04</v>
      </c>
      <c r="V19" s="312" t="s">
        <v>34</v>
      </c>
      <c r="Y19" s="71">
        <v>1999</v>
      </c>
      <c r="Z19" s="158">
        <v>0.04</v>
      </c>
      <c r="AA19" s="77">
        <v>0.04</v>
      </c>
      <c r="AB19" s="111"/>
      <c r="AC19" s="112">
        <v>1.4999999999999999E-2</v>
      </c>
      <c r="AD19" s="101"/>
      <c r="AE19" s="71">
        <v>1999</v>
      </c>
      <c r="AF19" s="111"/>
      <c r="AG19" s="117">
        <f>AG18*(1+AA19)</f>
        <v>146.56263831765506</v>
      </c>
      <c r="AH19" s="111"/>
      <c r="AI19" s="114">
        <f t="shared" si="6"/>
        <v>154.66313671480671</v>
      </c>
      <c r="AJ19" s="101"/>
      <c r="AK19" s="115">
        <f>AG19/AI19</f>
        <v>0.94762489259422766</v>
      </c>
    </row>
    <row r="20" spans="4:37">
      <c r="D20" s="296">
        <v>2000</v>
      </c>
      <c r="E20" s="300">
        <v>0.02</v>
      </c>
      <c r="F20" s="304">
        <v>0.02</v>
      </c>
      <c r="J20" s="81">
        <v>2000</v>
      </c>
      <c r="K20" s="88">
        <f t="shared" si="1"/>
        <v>0.02</v>
      </c>
      <c r="L20" s="81">
        <v>2000</v>
      </c>
      <c r="M20" s="82">
        <f t="shared" si="2"/>
        <v>0.02</v>
      </c>
      <c r="N20" s="81">
        <v>2000</v>
      </c>
      <c r="O20" s="82">
        <f t="shared" si="3"/>
        <v>0.02</v>
      </c>
      <c r="P20" s="81">
        <v>2000</v>
      </c>
      <c r="Q20" s="82">
        <f t="shared" si="4"/>
        <v>0.02</v>
      </c>
      <c r="R20" s="81">
        <v>2000</v>
      </c>
      <c r="S20" s="82">
        <f t="shared" si="4"/>
        <v>0.02</v>
      </c>
      <c r="T20" s="87">
        <v>2000</v>
      </c>
      <c r="U20" s="82">
        <f t="shared" si="4"/>
        <v>0.02</v>
      </c>
      <c r="V20" s="312" t="s">
        <v>34</v>
      </c>
      <c r="Y20" s="71">
        <v>2000</v>
      </c>
      <c r="Z20" s="158">
        <v>0.02</v>
      </c>
      <c r="AA20" s="77">
        <v>0.02</v>
      </c>
      <c r="AB20" s="111"/>
      <c r="AC20" s="112">
        <v>0.03</v>
      </c>
      <c r="AD20" s="101"/>
      <c r="AE20" s="71">
        <v>2000</v>
      </c>
      <c r="AF20" s="111"/>
      <c r="AG20" s="117">
        <f>AG19*(1+AA20)</f>
        <v>149.49389108400817</v>
      </c>
      <c r="AH20" s="111"/>
      <c r="AI20" s="114">
        <f t="shared" si="6"/>
        <v>159.30303081625092</v>
      </c>
      <c r="AJ20" s="101"/>
      <c r="AK20" s="115">
        <f>AG20/AI20</f>
        <v>0.93842465091855554</v>
      </c>
    </row>
    <row r="21" spans="4:37">
      <c r="D21" s="296">
        <v>2001</v>
      </c>
      <c r="E21" s="300">
        <v>2.7E-2</v>
      </c>
      <c r="F21" s="304">
        <v>1.4999999999999999E-2</v>
      </c>
      <c r="J21" s="81">
        <v>2001</v>
      </c>
      <c r="K21" s="88">
        <f t="shared" si="1"/>
        <v>1.4999999999999999E-2</v>
      </c>
      <c r="L21" s="81">
        <v>2001</v>
      </c>
      <c r="M21" s="82">
        <f t="shared" si="2"/>
        <v>1.4999999999999999E-2</v>
      </c>
      <c r="N21" s="81">
        <v>2001</v>
      </c>
      <c r="O21" s="82">
        <f t="shared" si="3"/>
        <v>1.4999999999999999E-2</v>
      </c>
      <c r="P21" s="81">
        <v>2001</v>
      </c>
      <c r="Q21" s="82">
        <f t="shared" si="4"/>
        <v>1.4999999999999999E-2</v>
      </c>
      <c r="R21" s="81">
        <v>2001</v>
      </c>
      <c r="S21" s="82">
        <f t="shared" si="4"/>
        <v>1.4999999999999999E-2</v>
      </c>
      <c r="T21" s="87">
        <v>2001</v>
      </c>
      <c r="U21" s="82">
        <f t="shared" si="4"/>
        <v>1.4999999999999999E-2</v>
      </c>
      <c r="V21" s="312" t="s">
        <v>34</v>
      </c>
      <c r="Y21" s="71">
        <v>2001</v>
      </c>
      <c r="Z21" s="158">
        <v>1.4999999999999999E-2</v>
      </c>
      <c r="AA21" s="77">
        <v>1.4999999999999999E-2</v>
      </c>
      <c r="AB21" s="111"/>
      <c r="AC21" s="112">
        <v>1.7999999999999999E-2</v>
      </c>
      <c r="AD21" s="101"/>
      <c r="AE21" s="71">
        <v>2001</v>
      </c>
      <c r="AF21" s="111"/>
      <c r="AG21" s="117">
        <f>AG20*(1+AA21)</f>
        <v>151.73629945026829</v>
      </c>
      <c r="AH21" s="111"/>
      <c r="AI21" s="114">
        <f t="shared" si="6"/>
        <v>162.17048537094345</v>
      </c>
      <c r="AJ21" s="101"/>
      <c r="AK21" s="115">
        <f>AG21/AI21</f>
        <v>0.93565915587655579</v>
      </c>
    </row>
    <row r="22" spans="4:37">
      <c r="D22" s="296">
        <v>2002</v>
      </c>
      <c r="E22" s="300">
        <v>1.2999999999999999E-2</v>
      </c>
      <c r="F22" s="304">
        <v>0</v>
      </c>
      <c r="J22" s="81">
        <v>2002</v>
      </c>
      <c r="K22" s="88">
        <f t="shared" si="1"/>
        <v>0</v>
      </c>
      <c r="L22" s="81">
        <v>2002</v>
      </c>
      <c r="M22" s="82">
        <f t="shared" si="2"/>
        <v>0</v>
      </c>
      <c r="N22" s="81">
        <v>2002</v>
      </c>
      <c r="O22" s="82">
        <f t="shared" si="3"/>
        <v>0</v>
      </c>
      <c r="P22" s="81">
        <v>2002</v>
      </c>
      <c r="Q22" s="82">
        <f t="shared" si="4"/>
        <v>0</v>
      </c>
      <c r="R22" s="81">
        <v>2002</v>
      </c>
      <c r="S22" s="82">
        <f t="shared" si="4"/>
        <v>0</v>
      </c>
      <c r="T22" s="87">
        <v>2002</v>
      </c>
      <c r="U22" s="82">
        <f t="shared" si="4"/>
        <v>0</v>
      </c>
      <c r="V22" s="312" t="s">
        <v>34</v>
      </c>
      <c r="Y22" s="71">
        <v>2002</v>
      </c>
      <c r="Z22" s="158">
        <v>0</v>
      </c>
      <c r="AA22" s="111"/>
      <c r="AB22" s="78">
        <v>0</v>
      </c>
      <c r="AC22" s="112">
        <v>1.7000000000000001E-2</v>
      </c>
      <c r="AD22" s="184">
        <v>2.9</v>
      </c>
      <c r="AE22" s="71">
        <v>2002</v>
      </c>
      <c r="AF22" s="111"/>
      <c r="AG22" s="111"/>
      <c r="AH22" s="117">
        <f>AG21*(1+AB22)</f>
        <v>151.73629945026829</v>
      </c>
      <c r="AI22" s="114">
        <f t="shared" si="6"/>
        <v>164.92738362224947</v>
      </c>
      <c r="AJ22" s="101"/>
      <c r="AK22" s="115">
        <f t="shared" ref="AK22:AK38" si="7">AH22/AI22</f>
        <v>0.92001883567016318</v>
      </c>
    </row>
    <row r="23" spans="4:37">
      <c r="D23" s="296">
        <v>2003</v>
      </c>
      <c r="E23" s="300">
        <v>2.9000000000000001E-2</v>
      </c>
      <c r="F23" s="303">
        <v>0</v>
      </c>
      <c r="J23" s="81">
        <v>2003</v>
      </c>
      <c r="K23" s="88">
        <f t="shared" si="1"/>
        <v>0</v>
      </c>
      <c r="L23" s="81">
        <v>2003</v>
      </c>
      <c r="M23" s="82">
        <f t="shared" si="2"/>
        <v>0</v>
      </c>
      <c r="N23" s="81">
        <v>2003</v>
      </c>
      <c r="O23" s="82">
        <f t="shared" si="3"/>
        <v>0</v>
      </c>
      <c r="P23" s="81">
        <v>2003</v>
      </c>
      <c r="Q23" s="82">
        <f t="shared" si="4"/>
        <v>0</v>
      </c>
      <c r="R23" s="81">
        <v>2003</v>
      </c>
      <c r="S23" s="82">
        <f t="shared" si="4"/>
        <v>0</v>
      </c>
      <c r="T23" s="87">
        <v>2003</v>
      </c>
      <c r="U23" s="82">
        <f t="shared" si="4"/>
        <v>0</v>
      </c>
      <c r="V23" s="312" t="s">
        <v>34</v>
      </c>
      <c r="Y23" s="71">
        <v>2003</v>
      </c>
      <c r="Z23" s="157">
        <v>0</v>
      </c>
      <c r="AA23" s="111"/>
      <c r="AB23" s="76">
        <v>0</v>
      </c>
      <c r="AC23" s="112">
        <v>2.9000000000000001E-2</v>
      </c>
      <c r="AD23" s="184">
        <v>2.8</v>
      </c>
      <c r="AE23" s="71">
        <v>2003</v>
      </c>
      <c r="AF23" s="111"/>
      <c r="AG23" s="111"/>
      <c r="AH23" s="117">
        <f t="shared" ref="AH23:AH30" si="8">AH22*(1+AB23)</f>
        <v>151.73629945026829</v>
      </c>
      <c r="AI23" s="114">
        <f t="shared" si="6"/>
        <v>169.7102777472947</v>
      </c>
      <c r="AJ23" s="101"/>
      <c r="AK23" s="115">
        <f t="shared" si="7"/>
        <v>0.8940902193101683</v>
      </c>
    </row>
    <row r="24" spans="4:37">
      <c r="D24" s="296">
        <v>2004</v>
      </c>
      <c r="E24" s="300">
        <v>2.5999999999999999E-2</v>
      </c>
      <c r="F24" s="304">
        <v>0.01</v>
      </c>
      <c r="J24" s="81">
        <v>2004</v>
      </c>
      <c r="K24" s="88">
        <f t="shared" si="1"/>
        <v>0.01</v>
      </c>
      <c r="L24" s="81">
        <v>2004</v>
      </c>
      <c r="M24" s="82">
        <f t="shared" si="2"/>
        <v>0.01</v>
      </c>
      <c r="N24" s="81">
        <v>2004</v>
      </c>
      <c r="O24" s="82">
        <f t="shared" si="3"/>
        <v>0.01</v>
      </c>
      <c r="P24" s="81">
        <v>2004</v>
      </c>
      <c r="Q24" s="82">
        <f t="shared" si="4"/>
        <v>0.01</v>
      </c>
      <c r="R24" s="81">
        <v>2004</v>
      </c>
      <c r="S24" s="82">
        <f t="shared" si="4"/>
        <v>0.01</v>
      </c>
      <c r="T24" s="87">
        <v>2004</v>
      </c>
      <c r="U24" s="82">
        <f t="shared" si="4"/>
        <v>0.01</v>
      </c>
      <c r="V24" s="312" t="s">
        <v>34</v>
      </c>
      <c r="Y24" s="71">
        <v>2004</v>
      </c>
      <c r="Z24" s="158">
        <v>0.01</v>
      </c>
      <c r="AA24" s="111"/>
      <c r="AB24" s="77">
        <v>0.01</v>
      </c>
      <c r="AC24" s="112">
        <v>0.03</v>
      </c>
      <c r="AD24" s="184">
        <v>3.5</v>
      </c>
      <c r="AE24" s="71">
        <v>2004</v>
      </c>
      <c r="AF24" s="111"/>
      <c r="AG24" s="111"/>
      <c r="AH24" s="117">
        <f t="shared" si="8"/>
        <v>153.25366244477098</v>
      </c>
      <c r="AI24" s="114">
        <f t="shared" si="6"/>
        <v>174.80158607971353</v>
      </c>
      <c r="AJ24" s="101"/>
      <c r="AK24" s="115">
        <f t="shared" si="7"/>
        <v>0.87672924417793208</v>
      </c>
    </row>
    <row r="25" spans="4:37">
      <c r="D25" s="296">
        <v>2005</v>
      </c>
      <c r="E25" s="300">
        <v>3.2000000000000001E-2</v>
      </c>
      <c r="F25" s="303">
        <v>0</v>
      </c>
      <c r="J25" s="81">
        <v>2005</v>
      </c>
      <c r="K25" s="88">
        <f t="shared" si="1"/>
        <v>0</v>
      </c>
      <c r="L25" s="81">
        <v>2005</v>
      </c>
      <c r="M25" s="82">
        <f t="shared" si="2"/>
        <v>0</v>
      </c>
      <c r="N25" s="81">
        <v>2005</v>
      </c>
      <c r="O25" s="82">
        <f t="shared" si="3"/>
        <v>0</v>
      </c>
      <c r="P25" s="81">
        <v>2005</v>
      </c>
      <c r="Q25" s="82">
        <f t="shared" si="4"/>
        <v>0</v>
      </c>
      <c r="R25" s="81">
        <v>2005</v>
      </c>
      <c r="S25" s="82">
        <f t="shared" si="4"/>
        <v>0</v>
      </c>
      <c r="T25" s="87">
        <v>2005</v>
      </c>
      <c r="U25" s="82">
        <f t="shared" si="4"/>
        <v>0</v>
      </c>
      <c r="V25" s="312" t="s">
        <v>34</v>
      </c>
      <c r="Y25" s="71">
        <v>2005</v>
      </c>
      <c r="Z25" s="157">
        <v>0</v>
      </c>
      <c r="AA25" s="111"/>
      <c r="AB25" s="76">
        <v>0</v>
      </c>
      <c r="AC25" s="112">
        <v>2.8000000000000001E-2</v>
      </c>
      <c r="AD25" s="184">
        <v>2.2000000000000002</v>
      </c>
      <c r="AE25" s="71">
        <v>2005</v>
      </c>
      <c r="AF25" s="111"/>
      <c r="AG25" s="111"/>
      <c r="AH25" s="117">
        <f t="shared" si="8"/>
        <v>153.25366244477098</v>
      </c>
      <c r="AI25" s="114">
        <f t="shared" si="6"/>
        <v>179.69603048994551</v>
      </c>
      <c r="AJ25" s="101"/>
      <c r="AK25" s="115">
        <f t="shared" si="7"/>
        <v>0.85284945931705458</v>
      </c>
    </row>
    <row r="26" spans="4:37">
      <c r="D26" s="296">
        <v>2006</v>
      </c>
      <c r="E26" s="300">
        <v>2.4E-2</v>
      </c>
      <c r="F26" s="303">
        <v>0</v>
      </c>
      <c r="J26" s="81">
        <v>2006</v>
      </c>
      <c r="K26" s="88">
        <f t="shared" si="1"/>
        <v>0</v>
      </c>
      <c r="L26" s="81">
        <v>2006</v>
      </c>
      <c r="M26" s="82">
        <f t="shared" si="2"/>
        <v>0</v>
      </c>
      <c r="N26" s="81">
        <v>2006</v>
      </c>
      <c r="O26" s="82">
        <f t="shared" si="3"/>
        <v>0</v>
      </c>
      <c r="P26" s="81">
        <v>2006</v>
      </c>
      <c r="Q26" s="82">
        <f t="shared" si="4"/>
        <v>0</v>
      </c>
      <c r="R26" s="81">
        <v>2006</v>
      </c>
      <c r="S26" s="82">
        <f t="shared" si="4"/>
        <v>0</v>
      </c>
      <c r="T26" s="87">
        <v>2006</v>
      </c>
      <c r="U26" s="82">
        <f t="shared" si="4"/>
        <v>0</v>
      </c>
      <c r="V26" s="312" t="s">
        <v>34</v>
      </c>
      <c r="Y26" s="71">
        <v>2006</v>
      </c>
      <c r="Z26" s="157">
        <v>0</v>
      </c>
      <c r="AA26" s="111"/>
      <c r="AB26" s="76">
        <v>0</v>
      </c>
      <c r="AC26" s="112">
        <v>3.2000000000000001E-2</v>
      </c>
      <c r="AD26" s="184">
        <v>4.4000000000000004</v>
      </c>
      <c r="AE26" s="71">
        <v>2006</v>
      </c>
      <c r="AF26" s="111"/>
      <c r="AG26" s="111"/>
      <c r="AH26" s="117">
        <f t="shared" si="8"/>
        <v>153.25366244477098</v>
      </c>
      <c r="AI26" s="114">
        <f t="shared" si="6"/>
        <v>185.44630346562377</v>
      </c>
      <c r="AJ26" s="101"/>
      <c r="AK26" s="115">
        <f t="shared" si="7"/>
        <v>0.82640451484210709</v>
      </c>
    </row>
    <row r="27" spans="4:37">
      <c r="D27" s="296">
        <v>2007</v>
      </c>
      <c r="E27" s="300">
        <v>4.2000000000000003E-2</v>
      </c>
      <c r="F27" s="303">
        <v>0</v>
      </c>
      <c r="J27" s="81">
        <v>2007</v>
      </c>
      <c r="K27" s="88">
        <f t="shared" si="1"/>
        <v>0</v>
      </c>
      <c r="L27" s="81">
        <v>2007</v>
      </c>
      <c r="M27" s="82">
        <f t="shared" si="2"/>
        <v>0</v>
      </c>
      <c r="N27" s="81">
        <v>2007</v>
      </c>
      <c r="O27" s="82">
        <f t="shared" si="3"/>
        <v>0</v>
      </c>
      <c r="P27" s="81">
        <v>2007</v>
      </c>
      <c r="Q27" s="82">
        <f t="shared" si="4"/>
        <v>0</v>
      </c>
      <c r="R27" s="81">
        <v>2007</v>
      </c>
      <c r="S27" s="82">
        <f t="shared" si="4"/>
        <v>0</v>
      </c>
      <c r="T27" s="87">
        <v>2007</v>
      </c>
      <c r="U27" s="82">
        <f t="shared" si="4"/>
        <v>0</v>
      </c>
      <c r="V27" s="312" t="s">
        <v>34</v>
      </c>
      <c r="Y27" s="71">
        <v>2007</v>
      </c>
      <c r="Z27" s="157">
        <v>0</v>
      </c>
      <c r="AA27" s="111"/>
      <c r="AB27" s="76">
        <v>0</v>
      </c>
      <c r="AC27" s="112">
        <v>4.2999999999999997E-2</v>
      </c>
      <c r="AD27" s="184">
        <v>4</v>
      </c>
      <c r="AE27" s="71">
        <v>2007</v>
      </c>
      <c r="AF27" s="111"/>
      <c r="AG27" s="111"/>
      <c r="AH27" s="117">
        <f t="shared" si="8"/>
        <v>153.25366244477098</v>
      </c>
      <c r="AI27" s="114">
        <f t="shared" si="6"/>
        <v>193.42049451464558</v>
      </c>
      <c r="AJ27" s="101"/>
      <c r="AK27" s="115">
        <f t="shared" si="7"/>
        <v>0.79233414654085055</v>
      </c>
    </row>
    <row r="28" spans="4:37">
      <c r="D28" s="296">
        <v>2008</v>
      </c>
      <c r="E28" s="300">
        <v>4.1000000000000002E-2</v>
      </c>
      <c r="F28" s="304">
        <v>0.01</v>
      </c>
      <c r="J28" s="81">
        <v>2008</v>
      </c>
      <c r="K28" s="88">
        <f t="shared" si="1"/>
        <v>0.01</v>
      </c>
      <c r="L28" s="81">
        <v>2008</v>
      </c>
      <c r="M28" s="82">
        <f t="shared" si="2"/>
        <v>0.01</v>
      </c>
      <c r="N28" s="81">
        <v>2008</v>
      </c>
      <c r="O28" s="82">
        <f t="shared" si="3"/>
        <v>0.01</v>
      </c>
      <c r="P28" s="81">
        <v>2008</v>
      </c>
      <c r="Q28" s="82">
        <f t="shared" si="4"/>
        <v>0.01</v>
      </c>
      <c r="R28" s="81">
        <v>2008</v>
      </c>
      <c r="S28" s="82">
        <f t="shared" si="4"/>
        <v>0.01</v>
      </c>
      <c r="T28" s="87">
        <v>2008</v>
      </c>
      <c r="U28" s="82">
        <f t="shared" si="4"/>
        <v>0.01</v>
      </c>
      <c r="V28" s="312" t="s">
        <v>34</v>
      </c>
      <c r="W28" s="96"/>
      <c r="Y28" s="71">
        <v>2008</v>
      </c>
      <c r="Z28" s="158">
        <v>0.01</v>
      </c>
      <c r="AA28" s="111"/>
      <c r="AB28" s="77">
        <v>0.01</v>
      </c>
      <c r="AC28" s="112">
        <v>0.04</v>
      </c>
      <c r="AD28" s="184">
        <v>0.9</v>
      </c>
      <c r="AE28" s="71">
        <v>2008</v>
      </c>
      <c r="AF28" s="111"/>
      <c r="AG28" s="111"/>
      <c r="AH28" s="117">
        <f t="shared" si="8"/>
        <v>154.7861990692187</v>
      </c>
      <c r="AI28" s="114">
        <f t="shared" si="6"/>
        <v>201.1573142952314</v>
      </c>
      <c r="AJ28" s="101"/>
      <c r="AK28" s="115">
        <f t="shared" si="7"/>
        <v>0.76947835385217223</v>
      </c>
    </row>
    <row r="29" spans="4:37">
      <c r="D29" s="296">
        <v>2009</v>
      </c>
      <c r="E29" s="300">
        <v>1E-3</v>
      </c>
      <c r="F29" s="303">
        <v>0</v>
      </c>
      <c r="J29" s="81">
        <v>2009</v>
      </c>
      <c r="K29" s="88">
        <f t="shared" si="1"/>
        <v>0</v>
      </c>
      <c r="L29" s="81">
        <v>2009</v>
      </c>
      <c r="M29" s="82">
        <f t="shared" si="2"/>
        <v>0</v>
      </c>
      <c r="N29" s="81">
        <v>2009</v>
      </c>
      <c r="O29" s="82">
        <f t="shared" si="3"/>
        <v>0</v>
      </c>
      <c r="P29" s="81">
        <v>2009</v>
      </c>
      <c r="Q29" s="82">
        <f t="shared" si="4"/>
        <v>0</v>
      </c>
      <c r="R29" s="81">
        <v>2009</v>
      </c>
      <c r="S29" s="82">
        <f t="shared" si="4"/>
        <v>0</v>
      </c>
      <c r="T29" s="87">
        <v>2009</v>
      </c>
      <c r="U29" s="82">
        <f t="shared" si="4"/>
        <v>0</v>
      </c>
      <c r="V29" s="312" t="s">
        <v>34</v>
      </c>
      <c r="Y29" s="71">
        <v>2009</v>
      </c>
      <c r="Z29" s="157">
        <v>0</v>
      </c>
      <c r="AA29" s="111"/>
      <c r="AB29" s="76">
        <v>0</v>
      </c>
      <c r="AC29" s="112">
        <v>-5.0000000000000001E-3</v>
      </c>
      <c r="AD29" s="184">
        <v>2.4</v>
      </c>
      <c r="AE29" s="71">
        <v>2009</v>
      </c>
      <c r="AF29" s="111"/>
      <c r="AG29" s="111"/>
      <c r="AH29" s="117">
        <f t="shared" si="8"/>
        <v>154.7861990692187</v>
      </c>
      <c r="AI29" s="114">
        <f t="shared" si="6"/>
        <v>200.15152772375524</v>
      </c>
      <c r="AJ29" s="101"/>
      <c r="AK29" s="115">
        <f t="shared" si="7"/>
        <v>0.77334507924841434</v>
      </c>
    </row>
    <row r="30" spans="4:37">
      <c r="D30" s="296">
        <v>2010</v>
      </c>
      <c r="E30" s="300">
        <v>3.6999999999999998E-2</v>
      </c>
      <c r="F30" s="303">
        <v>0</v>
      </c>
      <c r="J30" s="81">
        <v>2010</v>
      </c>
      <c r="K30" s="88">
        <f t="shared" si="1"/>
        <v>0</v>
      </c>
      <c r="L30" s="81">
        <v>2010</v>
      </c>
      <c r="M30" s="82">
        <f t="shared" si="2"/>
        <v>0</v>
      </c>
      <c r="N30" s="81">
        <v>2010</v>
      </c>
      <c r="O30" s="82">
        <f t="shared" si="3"/>
        <v>0</v>
      </c>
      <c r="P30" s="81">
        <v>2010</v>
      </c>
      <c r="Q30" s="82">
        <f t="shared" si="4"/>
        <v>0</v>
      </c>
      <c r="R30" s="81">
        <v>2010</v>
      </c>
      <c r="S30" s="82">
        <f t="shared" si="4"/>
        <v>0</v>
      </c>
      <c r="T30" s="87">
        <v>2010</v>
      </c>
      <c r="U30" s="82">
        <f t="shared" si="4"/>
        <v>0</v>
      </c>
      <c r="V30" s="312" t="s">
        <v>34</v>
      </c>
      <c r="Y30" s="71">
        <v>2010</v>
      </c>
      <c r="Z30" s="157">
        <v>0</v>
      </c>
      <c r="AA30" s="111"/>
      <c r="AB30" s="76">
        <v>0</v>
      </c>
      <c r="AC30" s="112">
        <v>4.5999999999999999E-2</v>
      </c>
      <c r="AD30" s="184">
        <v>4.8</v>
      </c>
      <c r="AE30" s="71">
        <v>2010</v>
      </c>
      <c r="AF30" s="111"/>
      <c r="AG30" s="111"/>
      <c r="AH30" s="117">
        <f t="shared" si="8"/>
        <v>154.7861990692187</v>
      </c>
      <c r="AI30" s="114">
        <f t="shared" si="6"/>
        <v>209.35849799904798</v>
      </c>
      <c r="AJ30" s="101"/>
      <c r="AK30" s="115">
        <f t="shared" si="7"/>
        <v>0.7393356398168397</v>
      </c>
    </row>
    <row r="31" spans="4:37">
      <c r="D31" s="296">
        <v>2011</v>
      </c>
      <c r="E31" s="300">
        <v>5.1999999999999998E-2</v>
      </c>
      <c r="F31" s="303">
        <v>0</v>
      </c>
      <c r="J31" s="81">
        <v>2011</v>
      </c>
      <c r="K31" s="88">
        <f t="shared" si="1"/>
        <v>0</v>
      </c>
      <c r="L31" s="81">
        <v>2011</v>
      </c>
      <c r="M31" s="82">
        <f t="shared" si="2"/>
        <v>0</v>
      </c>
      <c r="N31" s="81">
        <v>2011</v>
      </c>
      <c r="O31" s="82">
        <f t="shared" si="3"/>
        <v>0</v>
      </c>
      <c r="P31" s="81">
        <v>2011</v>
      </c>
      <c r="Q31" s="82">
        <f t="shared" si="4"/>
        <v>0</v>
      </c>
      <c r="R31" s="81">
        <v>2011</v>
      </c>
      <c r="S31" s="82">
        <f t="shared" si="4"/>
        <v>0</v>
      </c>
      <c r="T31" s="87">
        <v>2011</v>
      </c>
      <c r="U31" s="82">
        <f t="shared" si="4"/>
        <v>0</v>
      </c>
      <c r="V31" s="312" t="s">
        <v>34</v>
      </c>
      <c r="Y31" s="71">
        <v>2011</v>
      </c>
      <c r="Z31" s="157">
        <v>0</v>
      </c>
      <c r="AA31" s="111"/>
      <c r="AB31" s="76">
        <v>0</v>
      </c>
      <c r="AC31" s="112">
        <v>4.5999999999999999E-2</v>
      </c>
      <c r="AD31" s="184">
        <v>4.8</v>
      </c>
      <c r="AE31" s="71">
        <v>2011</v>
      </c>
      <c r="AF31" s="118"/>
      <c r="AG31" s="111"/>
      <c r="AH31" s="117">
        <f>AH29*(1+AB31)</f>
        <v>154.7861990692187</v>
      </c>
      <c r="AI31" s="114">
        <f t="shared" si="6"/>
        <v>218.9889889070042</v>
      </c>
      <c r="AJ31" s="111"/>
      <c r="AK31" s="115">
        <f t="shared" si="7"/>
        <v>0.70682183538894805</v>
      </c>
    </row>
    <row r="32" spans="4:37">
      <c r="D32" s="296">
        <v>2012</v>
      </c>
      <c r="E32" s="300">
        <v>3.9E-2</v>
      </c>
      <c r="F32" s="303">
        <v>0</v>
      </c>
      <c r="J32" s="81">
        <v>2012</v>
      </c>
      <c r="K32" s="88">
        <f t="shared" si="1"/>
        <v>0</v>
      </c>
      <c r="L32" s="81">
        <v>2012</v>
      </c>
      <c r="M32" s="82">
        <f t="shared" si="2"/>
        <v>0</v>
      </c>
      <c r="N32" s="81">
        <v>2012</v>
      </c>
      <c r="O32" s="82">
        <f t="shared" si="3"/>
        <v>0</v>
      </c>
      <c r="P32" s="81">
        <v>2012</v>
      </c>
      <c r="Q32" s="82">
        <f t="shared" si="4"/>
        <v>0</v>
      </c>
      <c r="R32" s="81">
        <v>2012</v>
      </c>
      <c r="S32" s="82">
        <f t="shared" si="4"/>
        <v>0</v>
      </c>
      <c r="T32" s="87">
        <v>2012</v>
      </c>
      <c r="U32" s="82">
        <f t="shared" si="4"/>
        <v>0</v>
      </c>
      <c r="V32" s="312" t="s">
        <v>34</v>
      </c>
      <c r="Y32" s="71">
        <v>2012</v>
      </c>
      <c r="Z32" s="157">
        <v>0</v>
      </c>
      <c r="AA32" s="111"/>
      <c r="AB32" s="76">
        <v>0</v>
      </c>
      <c r="AC32" s="112">
        <v>3.5000000000000003E-2</v>
      </c>
      <c r="AD32" s="184">
        <v>3.1</v>
      </c>
      <c r="AE32" s="71">
        <v>2012</v>
      </c>
      <c r="AF32" s="111"/>
      <c r="AG32" s="111"/>
      <c r="AH32" s="117">
        <f>AH29*(1+AB32)</f>
        <v>154.7861990692187</v>
      </c>
      <c r="AI32" s="114">
        <f t="shared" si="6"/>
        <v>226.65360351874932</v>
      </c>
      <c r="AJ32" s="111"/>
      <c r="AK32" s="115">
        <f t="shared" si="7"/>
        <v>0.68291964771879043</v>
      </c>
    </row>
    <row r="33" spans="4:38">
      <c r="D33" s="296">
        <v>2013</v>
      </c>
      <c r="E33" s="300">
        <v>3.3000000000000002E-2</v>
      </c>
      <c r="F33" s="303">
        <v>0</v>
      </c>
      <c r="J33" s="81">
        <v>2013</v>
      </c>
      <c r="K33" s="88">
        <f t="shared" si="1"/>
        <v>0</v>
      </c>
      <c r="L33" s="81">
        <v>2013</v>
      </c>
      <c r="M33" s="82">
        <f t="shared" si="2"/>
        <v>0</v>
      </c>
      <c r="N33" s="81">
        <v>2013</v>
      </c>
      <c r="O33" s="82">
        <f t="shared" si="3"/>
        <v>0</v>
      </c>
      <c r="P33" s="81">
        <v>2013</v>
      </c>
      <c r="Q33" s="82">
        <f t="shared" si="4"/>
        <v>0</v>
      </c>
      <c r="R33" s="81">
        <v>2013</v>
      </c>
      <c r="S33" s="82">
        <f t="shared" si="4"/>
        <v>0</v>
      </c>
      <c r="T33" s="87">
        <v>2013</v>
      </c>
      <c r="U33" s="82">
        <f t="shared" si="4"/>
        <v>0</v>
      </c>
      <c r="V33" s="312" t="s">
        <v>34</v>
      </c>
      <c r="Y33" s="71">
        <v>2013</v>
      </c>
      <c r="Z33" s="157">
        <v>0</v>
      </c>
      <c r="AA33" s="111"/>
      <c r="AB33" s="76">
        <v>0</v>
      </c>
      <c r="AC33" s="112">
        <v>3.1E-2</v>
      </c>
      <c r="AD33" s="184">
        <v>2.7</v>
      </c>
      <c r="AE33" s="71">
        <v>2013</v>
      </c>
      <c r="AF33" s="111"/>
      <c r="AG33" s="111"/>
      <c r="AH33" s="117">
        <f>AH30*(1+AB38)</f>
        <v>154.7861990692187</v>
      </c>
      <c r="AI33" s="114">
        <f t="shared" si="6"/>
        <v>233.67986522783053</v>
      </c>
      <c r="AJ33" s="111"/>
      <c r="AK33" s="115">
        <f t="shared" si="7"/>
        <v>0.66238569128883662</v>
      </c>
    </row>
    <row r="34" spans="4:38">
      <c r="D34" s="296">
        <v>2014</v>
      </c>
      <c r="E34" s="300">
        <v>2.8000000000000001E-2</v>
      </c>
      <c r="F34" s="303">
        <v>0</v>
      </c>
      <c r="J34" s="81">
        <v>2014</v>
      </c>
      <c r="K34" s="88">
        <f t="shared" si="1"/>
        <v>0</v>
      </c>
      <c r="L34" s="81">
        <v>2014</v>
      </c>
      <c r="M34" s="82">
        <f t="shared" si="2"/>
        <v>0</v>
      </c>
      <c r="N34" s="81">
        <v>2014</v>
      </c>
      <c r="O34" s="82">
        <f t="shared" si="3"/>
        <v>0</v>
      </c>
      <c r="P34" s="81">
        <v>2014</v>
      </c>
      <c r="Q34" s="82">
        <f t="shared" si="4"/>
        <v>0</v>
      </c>
      <c r="R34" s="81">
        <v>2014</v>
      </c>
      <c r="S34" s="82">
        <f t="shared" si="4"/>
        <v>0</v>
      </c>
      <c r="T34" s="87">
        <v>2014</v>
      </c>
      <c r="U34" s="82">
        <f t="shared" si="4"/>
        <v>0</v>
      </c>
      <c r="V34" s="312" t="s">
        <v>34</v>
      </c>
      <c r="Y34" s="71">
        <v>2014</v>
      </c>
      <c r="Z34" s="157">
        <v>0</v>
      </c>
      <c r="AA34" s="111"/>
      <c r="AB34" s="76">
        <v>0</v>
      </c>
      <c r="AC34" s="112">
        <v>2.4E-2</v>
      </c>
      <c r="AD34" s="184">
        <v>1.6</v>
      </c>
      <c r="AE34" s="71">
        <v>2014</v>
      </c>
      <c r="AF34" s="111"/>
      <c r="AG34" s="111"/>
      <c r="AH34" s="117">
        <f>AH31*(1+AB34)</f>
        <v>154.7861990692187</v>
      </c>
      <c r="AI34" s="114">
        <f t="shared" si="6"/>
        <v>239.28818199329848</v>
      </c>
      <c r="AJ34" s="111"/>
      <c r="AK34" s="115">
        <f t="shared" si="7"/>
        <v>0.64686102664925449</v>
      </c>
    </row>
    <row r="35" spans="4:38">
      <c r="D35" s="296">
        <v>2015</v>
      </c>
      <c r="E35" s="300">
        <v>1.0999999999999999E-2</v>
      </c>
      <c r="F35" s="304">
        <v>0</v>
      </c>
      <c r="J35" s="83">
        <v>2015</v>
      </c>
      <c r="K35" s="88">
        <f t="shared" si="1"/>
        <v>0</v>
      </c>
      <c r="L35" s="83">
        <v>2015</v>
      </c>
      <c r="M35" s="82">
        <f t="shared" si="2"/>
        <v>0</v>
      </c>
      <c r="N35" s="83">
        <v>2015</v>
      </c>
      <c r="O35" s="82">
        <f t="shared" si="3"/>
        <v>0</v>
      </c>
      <c r="P35" s="83">
        <v>2015</v>
      </c>
      <c r="Q35" s="82">
        <f t="shared" si="4"/>
        <v>0</v>
      </c>
      <c r="R35" s="83">
        <v>2015</v>
      </c>
      <c r="S35" s="82">
        <f t="shared" si="4"/>
        <v>0</v>
      </c>
      <c r="T35" s="87">
        <v>2015</v>
      </c>
      <c r="U35" s="82">
        <f t="shared" si="4"/>
        <v>0</v>
      </c>
      <c r="V35" s="312" t="s">
        <v>34</v>
      </c>
      <c r="Y35" s="72">
        <v>2015</v>
      </c>
      <c r="Z35" s="158">
        <v>0</v>
      </c>
      <c r="AA35" s="111"/>
      <c r="AB35" s="78">
        <v>0</v>
      </c>
      <c r="AC35" s="112">
        <v>0.01</v>
      </c>
      <c r="AD35" s="184">
        <v>1.2</v>
      </c>
      <c r="AE35" s="71">
        <v>2015</v>
      </c>
      <c r="AF35" s="111"/>
      <c r="AG35" s="111"/>
      <c r="AH35" s="117">
        <f>AH31*(1+AB39)</f>
        <v>154.7861990692187</v>
      </c>
      <c r="AI35" s="114">
        <f>AI33*(1+AC35)</f>
        <v>236.01666388010884</v>
      </c>
      <c r="AJ35" s="111"/>
      <c r="AK35" s="115">
        <f t="shared" si="7"/>
        <v>0.65582741711766002</v>
      </c>
    </row>
    <row r="36" spans="4:38">
      <c r="D36" s="296">
        <v>2016</v>
      </c>
      <c r="E36" s="300">
        <v>1.2999999999999999E-2</v>
      </c>
      <c r="F36" s="304">
        <v>0</v>
      </c>
      <c r="J36" s="83">
        <v>2016</v>
      </c>
      <c r="K36" s="88">
        <f t="shared" si="1"/>
        <v>0</v>
      </c>
      <c r="L36" s="83">
        <v>2016</v>
      </c>
      <c r="M36" s="82">
        <f t="shared" si="2"/>
        <v>0</v>
      </c>
      <c r="N36" s="83">
        <v>2016</v>
      </c>
      <c r="O36" s="82">
        <f t="shared" si="3"/>
        <v>0</v>
      </c>
      <c r="P36" s="83">
        <v>2016</v>
      </c>
      <c r="Q36" s="82">
        <f t="shared" si="4"/>
        <v>0</v>
      </c>
      <c r="R36" s="83">
        <v>2016</v>
      </c>
      <c r="S36" s="82">
        <f t="shared" si="4"/>
        <v>0</v>
      </c>
      <c r="T36" s="87">
        <v>2016</v>
      </c>
      <c r="U36" s="82">
        <f t="shared" si="4"/>
        <v>0</v>
      </c>
      <c r="V36" s="312" t="s">
        <v>34</v>
      </c>
      <c r="Y36" s="73">
        <v>2016</v>
      </c>
      <c r="Z36" s="158">
        <v>0</v>
      </c>
      <c r="AA36" s="111"/>
      <c r="AB36" s="78">
        <v>0</v>
      </c>
      <c r="AC36" s="112">
        <v>1.2999999999999999E-2</v>
      </c>
      <c r="AD36" s="184">
        <v>2.5</v>
      </c>
      <c r="AE36" s="71">
        <v>2016</v>
      </c>
      <c r="AF36" s="111"/>
      <c r="AG36" s="111"/>
      <c r="AH36" s="117">
        <f>AH33*(1+AB36)</f>
        <v>154.7861990692187</v>
      </c>
      <c r="AI36" s="114">
        <f>AI35*(1+AC36)</f>
        <v>239.08488051055022</v>
      </c>
      <c r="AJ36" s="111"/>
      <c r="AK36" s="115">
        <f t="shared" si="7"/>
        <v>0.6474110731664956</v>
      </c>
    </row>
    <row r="37" spans="4:38">
      <c r="D37" s="296">
        <v>2017</v>
      </c>
      <c r="E37" s="300">
        <v>2.5999999999999999E-2</v>
      </c>
      <c r="F37" s="304">
        <v>0</v>
      </c>
      <c r="J37" s="83">
        <v>2017</v>
      </c>
      <c r="K37" s="88">
        <f t="shared" si="1"/>
        <v>0</v>
      </c>
      <c r="L37" s="83">
        <v>2017</v>
      </c>
      <c r="M37" s="82">
        <f t="shared" si="2"/>
        <v>0</v>
      </c>
      <c r="N37" s="83">
        <v>2017</v>
      </c>
      <c r="O37" s="82">
        <f t="shared" si="3"/>
        <v>0</v>
      </c>
      <c r="P37" s="83">
        <v>2017</v>
      </c>
      <c r="Q37" s="82">
        <f t="shared" si="4"/>
        <v>0</v>
      </c>
      <c r="R37" s="83">
        <v>2017</v>
      </c>
      <c r="S37" s="82">
        <f t="shared" si="4"/>
        <v>0</v>
      </c>
      <c r="T37" s="87">
        <v>2017</v>
      </c>
      <c r="U37" s="82">
        <f t="shared" si="4"/>
        <v>0</v>
      </c>
      <c r="V37" s="312" t="s">
        <v>34</v>
      </c>
      <c r="Y37" s="73">
        <v>2017</v>
      </c>
      <c r="Z37" s="158">
        <v>0</v>
      </c>
      <c r="AA37" s="111"/>
      <c r="AB37" s="78">
        <v>0</v>
      </c>
      <c r="AC37" s="112">
        <v>3.5999999999999997E-2</v>
      </c>
      <c r="AD37" s="184">
        <v>4.0999999999999996</v>
      </c>
      <c r="AE37" s="71">
        <v>2017</v>
      </c>
      <c r="AF37" s="111"/>
      <c r="AG37" s="111"/>
      <c r="AH37" s="117">
        <f>AH33*(1+AB41)</f>
        <v>154.7861990692187</v>
      </c>
      <c r="AI37" s="114">
        <f>AI35*(1+AC37)</f>
        <v>244.51326377979277</v>
      </c>
      <c r="AJ37" s="111"/>
      <c r="AK37" s="115">
        <f t="shared" si="7"/>
        <v>0.63303804741086867</v>
      </c>
    </row>
    <row r="38" spans="4:38">
      <c r="D38" s="296">
        <v>2018</v>
      </c>
      <c r="E38" s="301">
        <v>0.04</v>
      </c>
      <c r="F38" s="304">
        <v>0</v>
      </c>
      <c r="J38" s="83">
        <v>2018</v>
      </c>
      <c r="K38" s="88">
        <f t="shared" si="1"/>
        <v>0</v>
      </c>
      <c r="L38" s="83">
        <v>2018</v>
      </c>
      <c r="M38" s="82">
        <f t="shared" si="2"/>
        <v>0</v>
      </c>
      <c r="N38" s="83">
        <v>2018</v>
      </c>
      <c r="O38" s="82">
        <f t="shared" si="3"/>
        <v>0</v>
      </c>
      <c r="P38" s="83">
        <v>2018</v>
      </c>
      <c r="Q38" s="82">
        <f t="shared" si="4"/>
        <v>0</v>
      </c>
      <c r="R38" s="83">
        <v>2018</v>
      </c>
      <c r="S38" s="82">
        <f t="shared" si="4"/>
        <v>0</v>
      </c>
      <c r="T38" s="87">
        <v>2018</v>
      </c>
      <c r="U38" s="82">
        <f t="shared" si="4"/>
        <v>0</v>
      </c>
      <c r="V38" s="312" t="s">
        <v>34</v>
      </c>
      <c r="Y38" s="74">
        <v>2018</v>
      </c>
      <c r="Z38" s="159">
        <v>0</v>
      </c>
      <c r="AA38" s="119"/>
      <c r="AB38" s="79">
        <v>0</v>
      </c>
      <c r="AC38" s="120">
        <v>0.03</v>
      </c>
      <c r="AD38" s="184">
        <v>2.7</v>
      </c>
      <c r="AE38" s="121">
        <v>2018</v>
      </c>
      <c r="AF38" s="119"/>
      <c r="AG38" s="119"/>
      <c r="AH38" s="122">
        <f>AH35*(1+AB38)</f>
        <v>154.7861990692187</v>
      </c>
      <c r="AI38" s="123">
        <f>AI37*(1+AC38)</f>
        <v>251.84866169318656</v>
      </c>
      <c r="AJ38" s="111"/>
      <c r="AK38" s="124">
        <f t="shared" si="7"/>
        <v>0.61460004602996954</v>
      </c>
    </row>
    <row r="39" spans="4:38">
      <c r="D39" s="296">
        <v>2019</v>
      </c>
      <c r="E39" s="300">
        <v>2.5399999999999999E-2</v>
      </c>
      <c r="F39" s="178">
        <v>0</v>
      </c>
      <c r="J39" s="83">
        <v>2019</v>
      </c>
      <c r="K39" s="88">
        <f t="shared" si="1"/>
        <v>0</v>
      </c>
      <c r="L39" s="83">
        <v>2019</v>
      </c>
      <c r="M39" s="89">
        <v>0</v>
      </c>
      <c r="N39" s="83">
        <v>2019</v>
      </c>
      <c r="O39" s="89">
        <v>0</v>
      </c>
      <c r="P39" s="83">
        <v>2019</v>
      </c>
      <c r="Q39" s="89">
        <v>0</v>
      </c>
      <c r="R39" s="83">
        <v>2019</v>
      </c>
      <c r="S39" s="89">
        <v>0</v>
      </c>
      <c r="T39" s="87">
        <v>2019</v>
      </c>
      <c r="U39" s="89">
        <v>0</v>
      </c>
      <c r="V39" s="312" t="s">
        <v>34</v>
      </c>
      <c r="Y39" s="125">
        <v>2019</v>
      </c>
      <c r="Z39" s="111"/>
      <c r="AA39" s="101"/>
      <c r="AB39" s="78"/>
      <c r="AC39" s="126"/>
      <c r="AD39" s="184">
        <v>2.2000000000000002</v>
      </c>
      <c r="AE39" s="125"/>
      <c r="AF39" s="111"/>
      <c r="AG39" s="111"/>
      <c r="AH39" s="117"/>
      <c r="AI39" s="117"/>
      <c r="AJ39" s="101"/>
      <c r="AK39" s="127"/>
    </row>
    <row r="40" spans="4:38">
      <c r="D40" s="296">
        <v>2020</v>
      </c>
      <c r="E40" s="300">
        <v>2.69E-2</v>
      </c>
      <c r="F40" s="178">
        <v>0</v>
      </c>
      <c r="J40" s="91">
        <v>2020</v>
      </c>
      <c r="K40" s="89">
        <v>0</v>
      </c>
      <c r="L40" s="91">
        <v>2020</v>
      </c>
      <c r="M40" s="89">
        <v>0</v>
      </c>
      <c r="N40" s="91">
        <v>2020</v>
      </c>
      <c r="O40" s="89">
        <v>0</v>
      </c>
      <c r="P40" s="91">
        <v>2020</v>
      </c>
      <c r="Q40" s="89">
        <v>0</v>
      </c>
      <c r="R40" s="91">
        <v>2020</v>
      </c>
      <c r="S40" s="89">
        <v>0</v>
      </c>
      <c r="T40" s="92">
        <v>2020</v>
      </c>
      <c r="U40" s="89">
        <v>0</v>
      </c>
      <c r="V40" s="313" t="s">
        <v>34</v>
      </c>
      <c r="Y40" s="189">
        <v>2020</v>
      </c>
      <c r="Z40" s="101"/>
      <c r="AA40" s="101"/>
      <c r="AB40" s="101"/>
      <c r="AC40" s="101"/>
      <c r="AD40" s="184">
        <v>0.8</v>
      </c>
      <c r="AE40" s="101"/>
      <c r="AF40" s="101"/>
      <c r="AG40" s="101"/>
      <c r="AH40" s="101"/>
      <c r="AI40" s="101"/>
      <c r="AJ40" s="101"/>
      <c r="AK40" s="101"/>
    </row>
    <row r="41" spans="4:38">
      <c r="D41" s="90">
        <f t="shared" ref="D41:D80" si="9">D40+1</f>
        <v>2021</v>
      </c>
      <c r="E41" s="154">
        <f>'MASTER SUMMARY'!M56/100</f>
        <v>0.02</v>
      </c>
      <c r="F41" s="154">
        <f>E41</f>
        <v>0.02</v>
      </c>
      <c r="G41" t="s">
        <v>84</v>
      </c>
      <c r="J41" s="91">
        <f t="shared" ref="J41:J80" si="10">J40+1</f>
        <v>2021</v>
      </c>
      <c r="K41" s="89">
        <v>0</v>
      </c>
      <c r="L41" s="91">
        <f t="shared" ref="L41:L80" si="11">L40+1</f>
        <v>2021</v>
      </c>
      <c r="M41" s="89">
        <v>0.01</v>
      </c>
      <c r="N41" s="91">
        <f t="shared" ref="N41:N80" si="12">N40+1</f>
        <v>2021</v>
      </c>
      <c r="O41" s="186">
        <f>F41</f>
        <v>0.02</v>
      </c>
      <c r="P41" s="91">
        <f t="shared" ref="P41:P80" si="13">P40+1</f>
        <v>2021</v>
      </c>
      <c r="Q41" s="187">
        <f>F41/2</f>
        <v>0.01</v>
      </c>
      <c r="R41" s="91">
        <f t="shared" ref="R41:R80" si="14">R40+1</f>
        <v>2021</v>
      </c>
      <c r="S41" s="186">
        <f>F41*0.5</f>
        <v>0.01</v>
      </c>
      <c r="T41" s="92">
        <v>2021</v>
      </c>
      <c r="U41" s="95">
        <f>F41*V41</f>
        <v>0.02</v>
      </c>
      <c r="V41" s="26">
        <v>1</v>
      </c>
      <c r="Y41" s="101"/>
      <c r="Z41" s="101"/>
      <c r="AA41" s="101"/>
      <c r="AB41" s="101"/>
      <c r="AC41" s="101"/>
      <c r="AD41" s="101"/>
      <c r="AE41" s="128">
        <v>100</v>
      </c>
      <c r="AF41" s="101"/>
      <c r="AG41" s="101"/>
      <c r="AH41" s="101"/>
      <c r="AI41" s="20"/>
      <c r="AJ41" s="101"/>
      <c r="AK41" s="101"/>
    </row>
    <row r="42" spans="4:38">
      <c r="D42" s="90">
        <f t="shared" si="9"/>
        <v>2022</v>
      </c>
      <c r="E42" s="154">
        <f>E41</f>
        <v>0.02</v>
      </c>
      <c r="F42" s="154">
        <f>F41</f>
        <v>0.02</v>
      </c>
      <c r="G42" t="s">
        <v>84</v>
      </c>
      <c r="J42" s="91">
        <f t="shared" si="10"/>
        <v>2022</v>
      </c>
      <c r="K42" s="89">
        <v>0</v>
      </c>
      <c r="L42" s="91">
        <f t="shared" si="11"/>
        <v>2022</v>
      </c>
      <c r="M42" s="84">
        <v>0</v>
      </c>
      <c r="N42" s="91">
        <f t="shared" si="12"/>
        <v>2022</v>
      </c>
      <c r="O42" s="186">
        <v>0</v>
      </c>
      <c r="P42" s="91">
        <f t="shared" si="13"/>
        <v>2022</v>
      </c>
      <c r="Q42" s="187">
        <f t="shared" ref="Q42:Q80" si="15">F42/2</f>
        <v>0.01</v>
      </c>
      <c r="R42" s="91">
        <f t="shared" si="14"/>
        <v>2022</v>
      </c>
      <c r="S42" s="186">
        <f>F42*0.5</f>
        <v>0.01</v>
      </c>
      <c r="T42" s="92">
        <v>2022</v>
      </c>
      <c r="U42" s="95">
        <f t="shared" ref="U42:U80" si="16">F42*V42</f>
        <v>0.02</v>
      </c>
      <c r="V42" s="26">
        <v>1</v>
      </c>
      <c r="Y42" s="101"/>
      <c r="Z42" s="101"/>
      <c r="AA42" s="101" t="s">
        <v>44</v>
      </c>
      <c r="AB42" s="101"/>
      <c r="AC42" s="101"/>
      <c r="AD42" s="101"/>
      <c r="AE42" s="101"/>
      <c r="AF42" s="101"/>
      <c r="AG42" s="101"/>
      <c r="AH42" s="101"/>
      <c r="AI42" s="129">
        <f>(AI38-AH38)/AH38</f>
        <v>0.62707439815459642</v>
      </c>
      <c r="AJ42" s="101"/>
      <c r="AK42" s="101"/>
    </row>
    <row r="43" spans="4:38">
      <c r="D43" s="90">
        <f t="shared" si="9"/>
        <v>2023</v>
      </c>
      <c r="E43" s="154">
        <f t="shared" ref="E43" si="17">E42</f>
        <v>0.02</v>
      </c>
      <c r="F43" s="154">
        <f t="shared" ref="F43:F80" si="18">F42</f>
        <v>0.02</v>
      </c>
      <c r="G43" t="s">
        <v>84</v>
      </c>
      <c r="J43" s="91">
        <f t="shared" si="10"/>
        <v>2023</v>
      </c>
      <c r="K43" s="89">
        <v>0</v>
      </c>
      <c r="L43" s="91">
        <f t="shared" si="11"/>
        <v>2023</v>
      </c>
      <c r="M43" s="89">
        <v>0</v>
      </c>
      <c r="N43" s="91">
        <f t="shared" si="12"/>
        <v>2023</v>
      </c>
      <c r="O43" s="186">
        <f>F43</f>
        <v>0.02</v>
      </c>
      <c r="P43" s="91">
        <f t="shared" si="13"/>
        <v>2023</v>
      </c>
      <c r="Q43" s="187">
        <f t="shared" si="15"/>
        <v>0.01</v>
      </c>
      <c r="R43" s="91">
        <f t="shared" si="14"/>
        <v>2023</v>
      </c>
      <c r="S43" s="186">
        <f t="shared" ref="S43:S79" si="19">F43</f>
        <v>0.02</v>
      </c>
      <c r="T43" s="92">
        <v>2023</v>
      </c>
      <c r="U43" s="95">
        <f t="shared" si="16"/>
        <v>0.02</v>
      </c>
      <c r="V43" s="26">
        <v>1</v>
      </c>
    </row>
    <row r="44" spans="4:38">
      <c r="D44" s="90">
        <f t="shared" si="9"/>
        <v>2024</v>
      </c>
      <c r="E44" s="154">
        <f t="shared" ref="E44" si="20">E43</f>
        <v>0.02</v>
      </c>
      <c r="F44" s="154">
        <f t="shared" si="18"/>
        <v>0.02</v>
      </c>
      <c r="G44" t="s">
        <v>84</v>
      </c>
      <c r="J44" s="91">
        <f t="shared" si="10"/>
        <v>2024</v>
      </c>
      <c r="K44" s="89">
        <v>0</v>
      </c>
      <c r="L44" s="91">
        <f t="shared" si="11"/>
        <v>2024</v>
      </c>
      <c r="M44" s="89">
        <v>0</v>
      </c>
      <c r="N44" s="91">
        <f t="shared" si="12"/>
        <v>2024</v>
      </c>
      <c r="O44" s="186">
        <v>0</v>
      </c>
      <c r="P44" s="91">
        <f t="shared" si="13"/>
        <v>2024</v>
      </c>
      <c r="Q44" s="187">
        <f t="shared" si="15"/>
        <v>0.01</v>
      </c>
      <c r="R44" s="91">
        <f t="shared" si="14"/>
        <v>2024</v>
      </c>
      <c r="S44" s="186">
        <f>F44*0.5</f>
        <v>0.01</v>
      </c>
      <c r="T44" s="92">
        <v>2024</v>
      </c>
      <c r="U44" s="95">
        <f t="shared" si="16"/>
        <v>0.02</v>
      </c>
      <c r="V44" s="26">
        <v>1</v>
      </c>
      <c r="Y44" s="101"/>
      <c r="Z44" s="101"/>
      <c r="AA44" s="101"/>
      <c r="AB44" s="101"/>
      <c r="AC44" s="101"/>
      <c r="AD44" s="101"/>
      <c r="AE44" s="101"/>
      <c r="AF44" s="101"/>
      <c r="AG44" s="101"/>
      <c r="AH44" s="101"/>
      <c r="AI44" s="101"/>
      <c r="AJ44" s="101"/>
      <c r="AK44" s="101"/>
      <c r="AL44" s="101"/>
    </row>
    <row r="45" spans="4:38">
      <c r="D45" s="90">
        <f t="shared" si="9"/>
        <v>2025</v>
      </c>
      <c r="E45" s="154">
        <f t="shared" ref="E45" si="21">E44</f>
        <v>0.02</v>
      </c>
      <c r="F45" s="154">
        <f t="shared" si="18"/>
        <v>0.02</v>
      </c>
      <c r="G45" t="s">
        <v>84</v>
      </c>
      <c r="J45" s="91">
        <f t="shared" si="10"/>
        <v>2025</v>
      </c>
      <c r="K45" s="89">
        <v>0</v>
      </c>
      <c r="L45" s="91">
        <f t="shared" si="11"/>
        <v>2025</v>
      </c>
      <c r="M45" s="89">
        <v>0</v>
      </c>
      <c r="N45" s="91">
        <f t="shared" si="12"/>
        <v>2025</v>
      </c>
      <c r="O45" s="186">
        <f>F45</f>
        <v>0.02</v>
      </c>
      <c r="P45" s="91">
        <f t="shared" si="13"/>
        <v>2025</v>
      </c>
      <c r="Q45" s="187">
        <f t="shared" si="15"/>
        <v>0.01</v>
      </c>
      <c r="R45" s="91">
        <f t="shared" si="14"/>
        <v>2025</v>
      </c>
      <c r="S45" s="186">
        <f>F45*0.5</f>
        <v>0.01</v>
      </c>
      <c r="T45" s="92">
        <v>2025</v>
      </c>
      <c r="U45" s="95">
        <f t="shared" si="16"/>
        <v>0.02</v>
      </c>
      <c r="V45" s="26">
        <v>1</v>
      </c>
    </row>
    <row r="46" spans="4:38">
      <c r="D46" s="90">
        <f t="shared" si="9"/>
        <v>2026</v>
      </c>
      <c r="E46" s="154">
        <f t="shared" ref="E46" si="22">E45</f>
        <v>0.02</v>
      </c>
      <c r="F46" s="154">
        <f t="shared" si="18"/>
        <v>0.02</v>
      </c>
      <c r="G46" t="s">
        <v>84</v>
      </c>
      <c r="J46" s="91">
        <f t="shared" si="10"/>
        <v>2026</v>
      </c>
      <c r="K46" s="89">
        <v>0</v>
      </c>
      <c r="L46" s="91">
        <f t="shared" si="11"/>
        <v>2026</v>
      </c>
      <c r="M46" s="89">
        <v>0</v>
      </c>
      <c r="N46" s="91">
        <f t="shared" si="12"/>
        <v>2026</v>
      </c>
      <c r="O46" s="186">
        <v>0</v>
      </c>
      <c r="P46" s="91">
        <f t="shared" si="13"/>
        <v>2026</v>
      </c>
      <c r="Q46" s="187">
        <f t="shared" si="15"/>
        <v>0.01</v>
      </c>
      <c r="R46" s="91">
        <f t="shared" si="14"/>
        <v>2026</v>
      </c>
      <c r="S46" s="186">
        <f t="shared" si="19"/>
        <v>0.02</v>
      </c>
      <c r="T46" s="92">
        <v>2026</v>
      </c>
      <c r="U46" s="95">
        <f t="shared" si="16"/>
        <v>1.4999999999999999E-2</v>
      </c>
      <c r="V46" s="35">
        <v>0.75</v>
      </c>
      <c r="Y46" t="s">
        <v>67</v>
      </c>
    </row>
    <row r="47" spans="4:38">
      <c r="D47" s="90">
        <f t="shared" si="9"/>
        <v>2027</v>
      </c>
      <c r="E47" s="154">
        <f t="shared" ref="E47" si="23">E46</f>
        <v>0.02</v>
      </c>
      <c r="F47" s="154">
        <f t="shared" si="18"/>
        <v>0.02</v>
      </c>
      <c r="G47" t="s">
        <v>84</v>
      </c>
      <c r="J47" s="91">
        <f t="shared" si="10"/>
        <v>2027</v>
      </c>
      <c r="K47" s="89">
        <v>0</v>
      </c>
      <c r="L47" s="91">
        <f t="shared" si="11"/>
        <v>2027</v>
      </c>
      <c r="M47" s="89">
        <v>0</v>
      </c>
      <c r="N47" s="91">
        <f t="shared" si="12"/>
        <v>2027</v>
      </c>
      <c r="O47" s="186">
        <f>F47</f>
        <v>0.02</v>
      </c>
      <c r="P47" s="91">
        <f t="shared" si="13"/>
        <v>2027</v>
      </c>
      <c r="Q47" s="187">
        <f t="shared" si="15"/>
        <v>0.01</v>
      </c>
      <c r="R47" s="91">
        <f t="shared" si="14"/>
        <v>2027</v>
      </c>
      <c r="S47" s="186">
        <f>F47*0.5</f>
        <v>0.01</v>
      </c>
      <c r="T47" s="92">
        <v>2027</v>
      </c>
      <c r="U47" s="95">
        <f t="shared" si="16"/>
        <v>1.4999999999999999E-2</v>
      </c>
      <c r="V47" s="35">
        <v>0.75</v>
      </c>
      <c r="Y47" s="179" t="s">
        <v>68</v>
      </c>
      <c r="Z47" s="179"/>
      <c r="AA47" s="180"/>
      <c r="AB47" s="180"/>
      <c r="AC47" s="180"/>
    </row>
    <row r="48" spans="4:38">
      <c r="D48" s="90">
        <f t="shared" si="9"/>
        <v>2028</v>
      </c>
      <c r="E48" s="154">
        <f t="shared" ref="E48" si="24">E47</f>
        <v>0.02</v>
      </c>
      <c r="F48" s="154">
        <f t="shared" si="18"/>
        <v>0.02</v>
      </c>
      <c r="G48" t="s">
        <v>84</v>
      </c>
      <c r="J48" s="91">
        <f t="shared" si="10"/>
        <v>2028</v>
      </c>
      <c r="K48" s="89">
        <v>0</v>
      </c>
      <c r="L48" s="91">
        <f t="shared" si="11"/>
        <v>2028</v>
      </c>
      <c r="M48" s="89">
        <v>0</v>
      </c>
      <c r="N48" s="91">
        <f t="shared" si="12"/>
        <v>2028</v>
      </c>
      <c r="O48" s="186">
        <v>0</v>
      </c>
      <c r="P48" s="91">
        <f t="shared" si="13"/>
        <v>2028</v>
      </c>
      <c r="Q48" s="187">
        <f t="shared" si="15"/>
        <v>0.01</v>
      </c>
      <c r="R48" s="91">
        <f t="shared" si="14"/>
        <v>2028</v>
      </c>
      <c r="S48" s="186">
        <f>F48*0.5</f>
        <v>0.01</v>
      </c>
      <c r="T48" s="92">
        <v>2028</v>
      </c>
      <c r="U48" s="95">
        <f t="shared" si="16"/>
        <v>1.4999999999999999E-2</v>
      </c>
      <c r="V48" s="35">
        <v>0.75</v>
      </c>
      <c r="Y48" s="179" t="s">
        <v>69</v>
      </c>
      <c r="Z48" s="180"/>
      <c r="AA48" s="180"/>
      <c r="AB48" s="180"/>
      <c r="AC48" s="180"/>
    </row>
    <row r="49" spans="4:29">
      <c r="D49" s="90">
        <f t="shared" si="9"/>
        <v>2029</v>
      </c>
      <c r="E49" s="154">
        <f t="shared" ref="E49" si="25">E48</f>
        <v>0.02</v>
      </c>
      <c r="F49" s="154">
        <f t="shared" si="18"/>
        <v>0.02</v>
      </c>
      <c r="G49" t="s">
        <v>84</v>
      </c>
      <c r="J49" s="91">
        <f t="shared" si="10"/>
        <v>2029</v>
      </c>
      <c r="K49" s="89">
        <v>0</v>
      </c>
      <c r="L49" s="91">
        <f t="shared" si="11"/>
        <v>2029</v>
      </c>
      <c r="M49" s="89">
        <v>0</v>
      </c>
      <c r="N49" s="91">
        <f t="shared" si="12"/>
        <v>2029</v>
      </c>
      <c r="O49" s="186">
        <f>F49</f>
        <v>0.02</v>
      </c>
      <c r="P49" s="91">
        <f t="shared" si="13"/>
        <v>2029</v>
      </c>
      <c r="Q49" s="187">
        <f t="shared" si="15"/>
        <v>0.01</v>
      </c>
      <c r="R49" s="91">
        <f t="shared" si="14"/>
        <v>2029</v>
      </c>
      <c r="S49" s="186">
        <f t="shared" si="19"/>
        <v>0.02</v>
      </c>
      <c r="T49" s="92">
        <v>2029</v>
      </c>
      <c r="U49" s="95">
        <f t="shared" si="16"/>
        <v>1.4999999999999999E-2</v>
      </c>
      <c r="V49" s="35">
        <v>0.75</v>
      </c>
      <c r="Y49" s="181"/>
      <c r="Z49" s="182"/>
      <c r="AA49" s="180"/>
      <c r="AB49" s="180"/>
      <c r="AC49" s="180"/>
    </row>
    <row r="50" spans="4:29">
      <c r="D50" s="90">
        <f t="shared" si="9"/>
        <v>2030</v>
      </c>
      <c r="E50" s="154">
        <f t="shared" ref="E50" si="26">E49</f>
        <v>0.02</v>
      </c>
      <c r="F50" s="154">
        <f t="shared" si="18"/>
        <v>0.02</v>
      </c>
      <c r="G50" t="s">
        <v>84</v>
      </c>
      <c r="J50" s="91">
        <f t="shared" si="10"/>
        <v>2030</v>
      </c>
      <c r="K50" s="89">
        <v>0</v>
      </c>
      <c r="L50" s="91">
        <f t="shared" si="11"/>
        <v>2030</v>
      </c>
      <c r="M50" s="89">
        <v>0</v>
      </c>
      <c r="N50" s="91">
        <f t="shared" si="12"/>
        <v>2030</v>
      </c>
      <c r="O50" s="186">
        <v>0</v>
      </c>
      <c r="P50" s="91">
        <f t="shared" si="13"/>
        <v>2030</v>
      </c>
      <c r="Q50" s="187">
        <f t="shared" si="15"/>
        <v>0.01</v>
      </c>
      <c r="R50" s="91">
        <f t="shared" si="14"/>
        <v>2030</v>
      </c>
      <c r="S50" s="186">
        <f>F50*0.5</f>
        <v>0.01</v>
      </c>
      <c r="T50" s="92">
        <v>2030</v>
      </c>
      <c r="U50" s="95">
        <f t="shared" si="16"/>
        <v>1.4999999999999999E-2</v>
      </c>
      <c r="V50" s="35">
        <v>0.75</v>
      </c>
      <c r="Y50" s="179"/>
      <c r="Z50" s="180"/>
      <c r="AA50" s="180"/>
      <c r="AB50" s="180"/>
      <c r="AC50" s="180"/>
    </row>
    <row r="51" spans="4:29">
      <c r="D51" s="90">
        <f t="shared" si="9"/>
        <v>2031</v>
      </c>
      <c r="E51" s="154">
        <f t="shared" ref="E51" si="27">E50</f>
        <v>0.02</v>
      </c>
      <c r="F51" s="154">
        <f t="shared" si="18"/>
        <v>0.02</v>
      </c>
      <c r="G51" t="s">
        <v>84</v>
      </c>
      <c r="J51" s="91">
        <f t="shared" si="10"/>
        <v>2031</v>
      </c>
      <c r="K51" s="89">
        <v>0</v>
      </c>
      <c r="L51" s="91">
        <f t="shared" si="11"/>
        <v>2031</v>
      </c>
      <c r="M51" s="89">
        <v>0</v>
      </c>
      <c r="N51" s="91">
        <f t="shared" si="12"/>
        <v>2031</v>
      </c>
      <c r="O51" s="186">
        <f>F51</f>
        <v>0.02</v>
      </c>
      <c r="P51" s="91">
        <f t="shared" si="13"/>
        <v>2031</v>
      </c>
      <c r="Q51" s="187">
        <f t="shared" si="15"/>
        <v>0.01</v>
      </c>
      <c r="R51" s="91">
        <f t="shared" si="14"/>
        <v>2031</v>
      </c>
      <c r="S51" s="186">
        <f>F51*0.5</f>
        <v>0.01</v>
      </c>
      <c r="T51" s="92">
        <v>2031</v>
      </c>
      <c r="U51" s="95">
        <f t="shared" si="16"/>
        <v>1.4999999999999999E-2</v>
      </c>
      <c r="V51" s="35">
        <f t="shared" ref="V51:V55" si="28">V50</f>
        <v>0.75</v>
      </c>
      <c r="Y51" s="179"/>
      <c r="Z51" s="183"/>
      <c r="AA51" s="183" t="s">
        <v>70</v>
      </c>
      <c r="AB51" s="183" t="s">
        <v>71</v>
      </c>
      <c r="AC51" s="183" t="s">
        <v>72</v>
      </c>
    </row>
    <row r="52" spans="4:29">
      <c r="D52" s="90">
        <f t="shared" si="9"/>
        <v>2032</v>
      </c>
      <c r="E52" s="154">
        <f t="shared" ref="E52" si="29">E51</f>
        <v>0.02</v>
      </c>
      <c r="F52" s="154">
        <f t="shared" si="18"/>
        <v>0.02</v>
      </c>
      <c r="G52" t="s">
        <v>84</v>
      </c>
      <c r="J52" s="91">
        <f t="shared" si="10"/>
        <v>2032</v>
      </c>
      <c r="K52" s="89">
        <v>0</v>
      </c>
      <c r="L52" s="91">
        <f t="shared" si="11"/>
        <v>2032</v>
      </c>
      <c r="M52" s="89">
        <v>0</v>
      </c>
      <c r="N52" s="91">
        <f t="shared" si="12"/>
        <v>2032</v>
      </c>
      <c r="O52" s="186">
        <v>0</v>
      </c>
      <c r="P52" s="91">
        <f t="shared" si="13"/>
        <v>2032</v>
      </c>
      <c r="Q52" s="187">
        <f t="shared" si="15"/>
        <v>0.01</v>
      </c>
      <c r="R52" s="91">
        <f t="shared" si="14"/>
        <v>2032</v>
      </c>
      <c r="S52" s="186">
        <f t="shared" si="19"/>
        <v>0.02</v>
      </c>
      <c r="T52" s="92">
        <v>2032</v>
      </c>
      <c r="U52" s="95">
        <f t="shared" si="16"/>
        <v>0.01</v>
      </c>
      <c r="V52" s="35">
        <v>0.5</v>
      </c>
      <c r="Y52" s="179" t="s">
        <v>0</v>
      </c>
      <c r="Z52" s="183" t="s">
        <v>42</v>
      </c>
      <c r="AA52" s="183" t="s">
        <v>73</v>
      </c>
      <c r="AB52" s="183" t="s">
        <v>74</v>
      </c>
      <c r="AC52" s="183" t="s">
        <v>71</v>
      </c>
    </row>
    <row r="53" spans="4:29">
      <c r="D53" s="90">
        <f t="shared" si="9"/>
        <v>2033</v>
      </c>
      <c r="E53" s="154">
        <f t="shared" ref="E53" si="30">E52</f>
        <v>0.02</v>
      </c>
      <c r="F53" s="154">
        <f t="shared" si="18"/>
        <v>0.02</v>
      </c>
      <c r="G53" t="s">
        <v>84</v>
      </c>
      <c r="J53" s="91">
        <f t="shared" si="10"/>
        <v>2033</v>
      </c>
      <c r="K53" s="89">
        <v>0</v>
      </c>
      <c r="L53" s="91">
        <f t="shared" si="11"/>
        <v>2033</v>
      </c>
      <c r="M53" s="89">
        <v>0.01</v>
      </c>
      <c r="N53" s="91">
        <f t="shared" si="12"/>
        <v>2033</v>
      </c>
      <c r="O53" s="186">
        <f>F53</f>
        <v>0.02</v>
      </c>
      <c r="P53" s="91">
        <f t="shared" si="13"/>
        <v>2033</v>
      </c>
      <c r="Q53" s="187">
        <f t="shared" si="15"/>
        <v>0.01</v>
      </c>
      <c r="R53" s="91">
        <f t="shared" si="14"/>
        <v>2033</v>
      </c>
      <c r="S53" s="186">
        <f>F53*0.5</f>
        <v>0.01</v>
      </c>
      <c r="T53" s="92">
        <v>2033</v>
      </c>
      <c r="U53" s="95">
        <f t="shared" si="16"/>
        <v>0.01</v>
      </c>
      <c r="V53" s="35">
        <f t="shared" si="28"/>
        <v>0.5</v>
      </c>
      <c r="Y53" s="181"/>
      <c r="Z53" s="181"/>
      <c r="AA53" s="181"/>
      <c r="AB53" s="181"/>
      <c r="AC53" s="181"/>
    </row>
    <row r="54" spans="4:29">
      <c r="D54" s="90">
        <f t="shared" si="9"/>
        <v>2034</v>
      </c>
      <c r="E54" s="154">
        <f t="shared" ref="E54" si="31">E53</f>
        <v>0.02</v>
      </c>
      <c r="F54" s="154">
        <f t="shared" si="18"/>
        <v>0.02</v>
      </c>
      <c r="G54" t="s">
        <v>84</v>
      </c>
      <c r="J54" s="91">
        <f t="shared" si="10"/>
        <v>2034</v>
      </c>
      <c r="K54" s="89">
        <v>0</v>
      </c>
      <c r="L54" s="91">
        <f t="shared" si="11"/>
        <v>2034</v>
      </c>
      <c r="M54" s="84">
        <v>0</v>
      </c>
      <c r="N54" s="91">
        <f t="shared" si="12"/>
        <v>2034</v>
      </c>
      <c r="O54" s="186">
        <v>0</v>
      </c>
      <c r="P54" s="91">
        <f t="shared" si="13"/>
        <v>2034</v>
      </c>
      <c r="Q54" s="187">
        <f t="shared" si="15"/>
        <v>0.01</v>
      </c>
      <c r="R54" s="91">
        <f t="shared" si="14"/>
        <v>2034</v>
      </c>
      <c r="S54" s="186">
        <f>F54*0.5</f>
        <v>0.01</v>
      </c>
      <c r="T54" s="92">
        <v>2034</v>
      </c>
      <c r="U54" s="95">
        <f t="shared" si="16"/>
        <v>0.01</v>
      </c>
      <c r="V54" s="35">
        <f t="shared" si="28"/>
        <v>0.5</v>
      </c>
      <c r="Y54" s="180">
        <v>2001</v>
      </c>
      <c r="Z54" s="180">
        <v>173.4</v>
      </c>
      <c r="AA54" s="180"/>
      <c r="AB54" s="180"/>
      <c r="AC54" s="180"/>
    </row>
    <row r="55" spans="4:29">
      <c r="D55" s="90">
        <f t="shared" si="9"/>
        <v>2035</v>
      </c>
      <c r="E55" s="154">
        <f t="shared" ref="E55" si="32">E54</f>
        <v>0.02</v>
      </c>
      <c r="F55" s="154">
        <f t="shared" si="18"/>
        <v>0.02</v>
      </c>
      <c r="G55" t="s">
        <v>84</v>
      </c>
      <c r="J55" s="91">
        <f t="shared" si="10"/>
        <v>2035</v>
      </c>
      <c r="K55" s="89">
        <v>0</v>
      </c>
      <c r="L55" s="91">
        <f t="shared" si="11"/>
        <v>2035</v>
      </c>
      <c r="M55" s="89">
        <v>0</v>
      </c>
      <c r="N55" s="91">
        <f t="shared" si="12"/>
        <v>2035</v>
      </c>
      <c r="O55" s="186">
        <f>F55</f>
        <v>0.02</v>
      </c>
      <c r="P55" s="91">
        <f t="shared" si="13"/>
        <v>2035</v>
      </c>
      <c r="Q55" s="187">
        <f t="shared" si="15"/>
        <v>0.01</v>
      </c>
      <c r="R55" s="91">
        <f t="shared" si="14"/>
        <v>2035</v>
      </c>
      <c r="S55" s="186">
        <f t="shared" si="19"/>
        <v>0.02</v>
      </c>
      <c r="T55" s="92">
        <v>2035</v>
      </c>
      <c r="U55" s="95">
        <f t="shared" si="16"/>
        <v>0.01</v>
      </c>
      <c r="V55" s="35">
        <f t="shared" si="28"/>
        <v>0.5</v>
      </c>
      <c r="Y55" s="180">
        <v>2002</v>
      </c>
      <c r="Z55" s="180">
        <v>178.5</v>
      </c>
      <c r="AA55" s="180">
        <v>5.0999999999999996</v>
      </c>
      <c r="AB55" s="184">
        <v>2.9</v>
      </c>
      <c r="AC55" s="180">
        <v>2.9</v>
      </c>
    </row>
    <row r="56" spans="4:29">
      <c r="D56" s="90">
        <f t="shared" si="9"/>
        <v>2036</v>
      </c>
      <c r="E56" s="154">
        <f t="shared" ref="E56" si="33">E55</f>
        <v>0.02</v>
      </c>
      <c r="F56" s="154">
        <f t="shared" si="18"/>
        <v>0.02</v>
      </c>
      <c r="G56" t="s">
        <v>84</v>
      </c>
      <c r="J56" s="91">
        <f t="shared" si="10"/>
        <v>2036</v>
      </c>
      <c r="K56" s="89">
        <v>0</v>
      </c>
      <c r="L56" s="91">
        <f t="shared" si="11"/>
        <v>2036</v>
      </c>
      <c r="M56" s="89">
        <v>0</v>
      </c>
      <c r="N56" s="91">
        <f t="shared" si="12"/>
        <v>2036</v>
      </c>
      <c r="O56" s="186">
        <v>0</v>
      </c>
      <c r="P56" s="91">
        <f t="shared" si="13"/>
        <v>2036</v>
      </c>
      <c r="Q56" s="187">
        <f t="shared" si="15"/>
        <v>0.01</v>
      </c>
      <c r="R56" s="91">
        <f t="shared" si="14"/>
        <v>2036</v>
      </c>
      <c r="S56" s="186">
        <f>F56*0.5</f>
        <v>0.01</v>
      </c>
      <c r="T56" s="92">
        <v>2036</v>
      </c>
      <c r="U56" s="95">
        <f t="shared" si="16"/>
        <v>0.01</v>
      </c>
      <c r="V56" s="40">
        <v>0.5</v>
      </c>
      <c r="Y56" s="180">
        <v>2003</v>
      </c>
      <c r="Z56" s="180">
        <v>183.5</v>
      </c>
      <c r="AA56" s="184">
        <v>5</v>
      </c>
      <c r="AB56" s="184">
        <v>2.8</v>
      </c>
      <c r="AC56" s="184">
        <v>5.7</v>
      </c>
    </row>
    <row r="57" spans="4:29">
      <c r="D57" s="90">
        <f t="shared" si="9"/>
        <v>2037</v>
      </c>
      <c r="E57" s="154">
        <f t="shared" ref="E57" si="34">E56</f>
        <v>0.02</v>
      </c>
      <c r="F57" s="154">
        <f t="shared" si="18"/>
        <v>0.02</v>
      </c>
      <c r="G57" t="s">
        <v>84</v>
      </c>
      <c r="J57" s="91">
        <f t="shared" si="10"/>
        <v>2037</v>
      </c>
      <c r="K57" s="89">
        <v>0</v>
      </c>
      <c r="L57" s="91">
        <f t="shared" si="11"/>
        <v>2037</v>
      </c>
      <c r="M57" s="89">
        <v>0</v>
      </c>
      <c r="N57" s="91">
        <f t="shared" si="12"/>
        <v>2037</v>
      </c>
      <c r="O57" s="186">
        <f>F57</f>
        <v>0.02</v>
      </c>
      <c r="P57" s="91">
        <f t="shared" si="13"/>
        <v>2037</v>
      </c>
      <c r="Q57" s="187">
        <f t="shared" si="15"/>
        <v>0.01</v>
      </c>
      <c r="R57" s="91">
        <f t="shared" si="14"/>
        <v>2037</v>
      </c>
      <c r="S57" s="186">
        <f>F57*0.5</f>
        <v>0.01</v>
      </c>
      <c r="T57" s="92">
        <v>2037</v>
      </c>
      <c r="U57" s="95">
        <f t="shared" si="16"/>
        <v>0.01</v>
      </c>
      <c r="V57" s="40">
        <f>V56</f>
        <v>0.5</v>
      </c>
      <c r="Y57" s="180">
        <v>2004</v>
      </c>
      <c r="Z57" s="180">
        <v>189.9</v>
      </c>
      <c r="AA57" s="184">
        <v>6.4</v>
      </c>
      <c r="AB57" s="184">
        <v>3.5</v>
      </c>
      <c r="AC57" s="184">
        <v>9.1999999999999993</v>
      </c>
    </row>
    <row r="58" spans="4:29">
      <c r="D58" s="90">
        <f t="shared" si="9"/>
        <v>2038</v>
      </c>
      <c r="E58" s="154">
        <f t="shared" ref="E58" si="35">E57</f>
        <v>0.02</v>
      </c>
      <c r="F58" s="154">
        <f t="shared" si="18"/>
        <v>0.02</v>
      </c>
      <c r="G58" t="s">
        <v>84</v>
      </c>
      <c r="J58" s="91">
        <f t="shared" si="10"/>
        <v>2038</v>
      </c>
      <c r="K58" s="89">
        <v>0</v>
      </c>
      <c r="L58" s="91">
        <f t="shared" si="11"/>
        <v>2038</v>
      </c>
      <c r="M58" s="89">
        <v>0</v>
      </c>
      <c r="N58" s="91">
        <f t="shared" si="12"/>
        <v>2038</v>
      </c>
      <c r="O58" s="186">
        <v>0</v>
      </c>
      <c r="P58" s="91">
        <f t="shared" si="13"/>
        <v>2038</v>
      </c>
      <c r="Q58" s="187">
        <f t="shared" si="15"/>
        <v>0.01</v>
      </c>
      <c r="R58" s="91">
        <f t="shared" si="14"/>
        <v>2038</v>
      </c>
      <c r="S58" s="186">
        <f t="shared" si="19"/>
        <v>0.02</v>
      </c>
      <c r="T58" s="92">
        <v>2038</v>
      </c>
      <c r="U58" s="95">
        <f t="shared" si="16"/>
        <v>0.01</v>
      </c>
      <c r="V58" s="40">
        <f t="shared" ref="V58:V73" si="36">V57</f>
        <v>0.5</v>
      </c>
      <c r="Y58" s="180">
        <v>2005</v>
      </c>
      <c r="Z58" s="180">
        <v>194.1</v>
      </c>
      <c r="AA58" s="184">
        <v>4.2</v>
      </c>
      <c r="AB58" s="184">
        <v>2.2000000000000002</v>
      </c>
      <c r="AC58" s="184">
        <v>11.4</v>
      </c>
    </row>
    <row r="59" spans="4:29">
      <c r="D59" s="90">
        <f t="shared" si="9"/>
        <v>2039</v>
      </c>
      <c r="E59" s="154">
        <f t="shared" ref="E59" si="37">E58</f>
        <v>0.02</v>
      </c>
      <c r="F59" s="154">
        <f t="shared" si="18"/>
        <v>0.02</v>
      </c>
      <c r="G59" t="s">
        <v>84</v>
      </c>
      <c r="J59" s="91">
        <f t="shared" si="10"/>
        <v>2039</v>
      </c>
      <c r="K59" s="89">
        <v>0</v>
      </c>
      <c r="L59" s="91">
        <f t="shared" si="11"/>
        <v>2039</v>
      </c>
      <c r="M59" s="89">
        <v>0</v>
      </c>
      <c r="N59" s="91">
        <f t="shared" si="12"/>
        <v>2039</v>
      </c>
      <c r="O59" s="186">
        <f>F59</f>
        <v>0.02</v>
      </c>
      <c r="P59" s="91">
        <f t="shared" si="13"/>
        <v>2039</v>
      </c>
      <c r="Q59" s="187">
        <f t="shared" si="15"/>
        <v>0.01</v>
      </c>
      <c r="R59" s="91">
        <f t="shared" si="14"/>
        <v>2039</v>
      </c>
      <c r="S59" s="186">
        <f>F59*0.5</f>
        <v>0.01</v>
      </c>
      <c r="T59" s="92">
        <v>2039</v>
      </c>
      <c r="U59" s="95">
        <f t="shared" si="16"/>
        <v>0.01</v>
      </c>
      <c r="V59" s="40">
        <f t="shared" si="36"/>
        <v>0.5</v>
      </c>
      <c r="Y59" s="180">
        <v>2006</v>
      </c>
      <c r="Z59" s="180">
        <v>202.7</v>
      </c>
      <c r="AA59" s="184">
        <v>8.6</v>
      </c>
      <c r="AB59" s="184">
        <v>4.4000000000000004</v>
      </c>
      <c r="AC59" s="184">
        <v>15.8</v>
      </c>
    </row>
    <row r="60" spans="4:29">
      <c r="D60" s="90">
        <f t="shared" si="9"/>
        <v>2040</v>
      </c>
      <c r="E60" s="154">
        <f t="shared" ref="E60" si="38">E59</f>
        <v>0.02</v>
      </c>
      <c r="F60" s="154">
        <f t="shared" si="18"/>
        <v>0.02</v>
      </c>
      <c r="G60" t="s">
        <v>84</v>
      </c>
      <c r="J60" s="91">
        <f t="shared" si="10"/>
        <v>2040</v>
      </c>
      <c r="K60" s="89">
        <v>0</v>
      </c>
      <c r="L60" s="91">
        <f t="shared" si="11"/>
        <v>2040</v>
      </c>
      <c r="M60" s="89">
        <v>0</v>
      </c>
      <c r="N60" s="91">
        <f t="shared" si="12"/>
        <v>2040</v>
      </c>
      <c r="O60" s="186">
        <v>0</v>
      </c>
      <c r="P60" s="91">
        <f t="shared" si="13"/>
        <v>2040</v>
      </c>
      <c r="Q60" s="187">
        <f t="shared" si="15"/>
        <v>0.01</v>
      </c>
      <c r="R60" s="91">
        <f t="shared" si="14"/>
        <v>2040</v>
      </c>
      <c r="S60" s="186">
        <f>F60*0.5</f>
        <v>0.01</v>
      </c>
      <c r="T60" s="92">
        <v>2040</v>
      </c>
      <c r="U60" s="95">
        <f t="shared" si="16"/>
        <v>0.01</v>
      </c>
      <c r="V60" s="40">
        <f t="shared" si="36"/>
        <v>0.5</v>
      </c>
      <c r="Y60" s="180">
        <v>2007</v>
      </c>
      <c r="Z60" s="180">
        <v>210.9</v>
      </c>
      <c r="AA60" s="184">
        <v>8.1999999999999993</v>
      </c>
      <c r="AB60" s="184">
        <v>4</v>
      </c>
      <c r="AC60" s="184">
        <v>19.899999999999999</v>
      </c>
    </row>
    <row r="61" spans="4:29">
      <c r="D61" s="90">
        <f t="shared" si="9"/>
        <v>2041</v>
      </c>
      <c r="E61" s="154">
        <f t="shared" ref="E61" si="39">E60</f>
        <v>0.02</v>
      </c>
      <c r="F61" s="154">
        <f t="shared" si="18"/>
        <v>0.02</v>
      </c>
      <c r="G61" t="s">
        <v>84</v>
      </c>
      <c r="J61" s="91">
        <f t="shared" si="10"/>
        <v>2041</v>
      </c>
      <c r="K61" s="89">
        <v>0</v>
      </c>
      <c r="L61" s="91">
        <f t="shared" si="11"/>
        <v>2041</v>
      </c>
      <c r="M61" s="89">
        <v>0</v>
      </c>
      <c r="N61" s="91">
        <f t="shared" si="12"/>
        <v>2041</v>
      </c>
      <c r="O61" s="186">
        <f>F61</f>
        <v>0.02</v>
      </c>
      <c r="P61" s="91">
        <f t="shared" si="13"/>
        <v>2041</v>
      </c>
      <c r="Q61" s="187">
        <f t="shared" si="15"/>
        <v>0.01</v>
      </c>
      <c r="R61" s="91">
        <f t="shared" si="14"/>
        <v>2041</v>
      </c>
      <c r="S61" s="186">
        <f t="shared" si="19"/>
        <v>0.02</v>
      </c>
      <c r="T61" s="92">
        <v>2041</v>
      </c>
      <c r="U61" s="95">
        <f t="shared" si="16"/>
        <v>0.01</v>
      </c>
      <c r="V61" s="40">
        <f t="shared" si="36"/>
        <v>0.5</v>
      </c>
      <c r="Y61" s="180">
        <v>2008</v>
      </c>
      <c r="Z61" s="180">
        <v>212.9</v>
      </c>
      <c r="AA61" s="184">
        <v>2</v>
      </c>
      <c r="AB61" s="184">
        <v>0.9</v>
      </c>
      <c r="AC61" s="184">
        <v>20.8</v>
      </c>
    </row>
    <row r="62" spans="4:29">
      <c r="D62" s="90">
        <f t="shared" si="9"/>
        <v>2042</v>
      </c>
      <c r="E62" s="154">
        <f t="shared" ref="E62" si="40">E61</f>
        <v>0.02</v>
      </c>
      <c r="F62" s="154">
        <f t="shared" si="18"/>
        <v>0.02</v>
      </c>
      <c r="G62" t="s">
        <v>84</v>
      </c>
      <c r="J62" s="91">
        <f t="shared" si="10"/>
        <v>2042</v>
      </c>
      <c r="K62" s="89">
        <v>0</v>
      </c>
      <c r="L62" s="91">
        <f t="shared" si="11"/>
        <v>2042</v>
      </c>
      <c r="M62" s="89">
        <v>0</v>
      </c>
      <c r="N62" s="91">
        <f t="shared" si="12"/>
        <v>2042</v>
      </c>
      <c r="O62" s="186">
        <v>0</v>
      </c>
      <c r="P62" s="91">
        <f t="shared" si="13"/>
        <v>2042</v>
      </c>
      <c r="Q62" s="187">
        <f t="shared" si="15"/>
        <v>0.01</v>
      </c>
      <c r="R62" s="91">
        <f t="shared" si="14"/>
        <v>2042</v>
      </c>
      <c r="S62" s="186">
        <f>F62*0.5</f>
        <v>0.01</v>
      </c>
      <c r="T62" s="92">
        <v>2042</v>
      </c>
      <c r="U62" s="95">
        <f t="shared" si="16"/>
        <v>0.01</v>
      </c>
      <c r="V62" s="40">
        <f t="shared" si="36"/>
        <v>0.5</v>
      </c>
      <c r="Y62" s="180">
        <v>2009</v>
      </c>
      <c r="Z62" s="184">
        <v>218</v>
      </c>
      <c r="AA62" s="184">
        <v>5.0999999999999996</v>
      </c>
      <c r="AB62" s="184">
        <v>2.4</v>
      </c>
      <c r="AC62" s="184">
        <v>23.2</v>
      </c>
    </row>
    <row r="63" spans="4:29">
      <c r="D63" s="90">
        <f t="shared" si="9"/>
        <v>2043</v>
      </c>
      <c r="E63" s="154">
        <f t="shared" ref="E63" si="41">E62</f>
        <v>0.02</v>
      </c>
      <c r="F63" s="154">
        <f t="shared" si="18"/>
        <v>0.02</v>
      </c>
      <c r="G63" t="s">
        <v>84</v>
      </c>
      <c r="J63" s="91">
        <f t="shared" si="10"/>
        <v>2043</v>
      </c>
      <c r="K63" s="89">
        <v>0</v>
      </c>
      <c r="L63" s="91">
        <f t="shared" si="11"/>
        <v>2043</v>
      </c>
      <c r="M63" s="89">
        <v>0</v>
      </c>
      <c r="N63" s="91">
        <f t="shared" si="12"/>
        <v>2043</v>
      </c>
      <c r="O63" s="186">
        <f>F63</f>
        <v>0.02</v>
      </c>
      <c r="P63" s="91">
        <f t="shared" si="13"/>
        <v>2043</v>
      </c>
      <c r="Q63" s="187">
        <f t="shared" si="15"/>
        <v>0.01</v>
      </c>
      <c r="R63" s="91">
        <f t="shared" si="14"/>
        <v>2043</v>
      </c>
      <c r="S63" s="186">
        <f>F63*0.5</f>
        <v>0.01</v>
      </c>
      <c r="T63" s="92">
        <v>2043</v>
      </c>
      <c r="U63" s="95">
        <f t="shared" si="16"/>
        <v>0.01</v>
      </c>
      <c r="V63" s="40">
        <f t="shared" si="36"/>
        <v>0.5</v>
      </c>
      <c r="Y63" s="180">
        <v>2010</v>
      </c>
      <c r="Z63" s="180">
        <v>228.4</v>
      </c>
      <c r="AA63" s="184">
        <v>10.4</v>
      </c>
      <c r="AB63" s="184">
        <v>4.8</v>
      </c>
      <c r="AC63" s="184">
        <v>28</v>
      </c>
    </row>
    <row r="64" spans="4:29">
      <c r="D64" s="90">
        <f t="shared" si="9"/>
        <v>2044</v>
      </c>
      <c r="E64" s="154">
        <f t="shared" ref="E64" si="42">E63</f>
        <v>0.02</v>
      </c>
      <c r="F64" s="154">
        <f t="shared" si="18"/>
        <v>0.02</v>
      </c>
      <c r="G64" t="s">
        <v>84</v>
      </c>
      <c r="J64" s="91">
        <f t="shared" si="10"/>
        <v>2044</v>
      </c>
      <c r="K64" s="89">
        <v>0</v>
      </c>
      <c r="L64" s="91">
        <f t="shared" si="11"/>
        <v>2044</v>
      </c>
      <c r="M64" s="89">
        <v>0</v>
      </c>
      <c r="N64" s="91">
        <f t="shared" si="12"/>
        <v>2044</v>
      </c>
      <c r="O64" s="186">
        <v>0</v>
      </c>
      <c r="P64" s="91">
        <f t="shared" si="13"/>
        <v>2044</v>
      </c>
      <c r="Q64" s="187">
        <f t="shared" si="15"/>
        <v>0.01</v>
      </c>
      <c r="R64" s="91">
        <f t="shared" si="14"/>
        <v>2044</v>
      </c>
      <c r="S64" s="186">
        <f t="shared" si="19"/>
        <v>0.02</v>
      </c>
      <c r="T64" s="92">
        <v>2044</v>
      </c>
      <c r="U64" s="95">
        <f t="shared" si="16"/>
        <v>0.01</v>
      </c>
      <c r="V64" s="40">
        <f t="shared" si="36"/>
        <v>0.5</v>
      </c>
      <c r="Y64" s="180">
        <v>2011</v>
      </c>
      <c r="Z64" s="180">
        <v>239.4</v>
      </c>
      <c r="AA64" s="184">
        <v>11</v>
      </c>
      <c r="AB64" s="184">
        <v>4.8</v>
      </c>
      <c r="AC64" s="184">
        <v>32.799999999999997</v>
      </c>
    </row>
    <row r="65" spans="4:29">
      <c r="D65" s="90">
        <f t="shared" si="9"/>
        <v>2045</v>
      </c>
      <c r="E65" s="154">
        <f t="shared" ref="E65" si="43">E64</f>
        <v>0.02</v>
      </c>
      <c r="F65" s="154">
        <f t="shared" si="18"/>
        <v>0.02</v>
      </c>
      <c r="G65" t="s">
        <v>84</v>
      </c>
      <c r="J65" s="91">
        <f t="shared" si="10"/>
        <v>2045</v>
      </c>
      <c r="K65" s="89">
        <v>0</v>
      </c>
      <c r="L65" s="91">
        <f t="shared" si="11"/>
        <v>2045</v>
      </c>
      <c r="M65" s="89">
        <v>0</v>
      </c>
      <c r="N65" s="91">
        <f t="shared" si="12"/>
        <v>2045</v>
      </c>
      <c r="O65" s="186">
        <f>F65</f>
        <v>0.02</v>
      </c>
      <c r="P65" s="91">
        <f t="shared" si="13"/>
        <v>2045</v>
      </c>
      <c r="Q65" s="187">
        <f t="shared" si="15"/>
        <v>0.01</v>
      </c>
      <c r="R65" s="91">
        <f t="shared" si="14"/>
        <v>2045</v>
      </c>
      <c r="S65" s="186">
        <f>F65*0.5</f>
        <v>0.01</v>
      </c>
      <c r="T65" s="92">
        <v>2045</v>
      </c>
      <c r="U65" s="95">
        <f t="shared" si="16"/>
        <v>0.01</v>
      </c>
      <c r="V65" s="40">
        <f t="shared" si="36"/>
        <v>0.5</v>
      </c>
      <c r="Y65" s="180">
        <v>2012</v>
      </c>
      <c r="Z65" s="180">
        <v>246.8</v>
      </c>
      <c r="AA65" s="184">
        <v>7.4</v>
      </c>
      <c r="AB65" s="184">
        <v>3.1</v>
      </c>
      <c r="AC65" s="184">
        <v>35.9</v>
      </c>
    </row>
    <row r="66" spans="4:29">
      <c r="D66" s="90">
        <f t="shared" si="9"/>
        <v>2046</v>
      </c>
      <c r="E66" s="154">
        <f t="shared" ref="E66" si="44">E65</f>
        <v>0.02</v>
      </c>
      <c r="F66" s="154">
        <f t="shared" si="18"/>
        <v>0.02</v>
      </c>
      <c r="G66" t="s">
        <v>84</v>
      </c>
      <c r="J66" s="91">
        <f t="shared" si="10"/>
        <v>2046</v>
      </c>
      <c r="K66" s="89">
        <v>0</v>
      </c>
      <c r="L66" s="91">
        <f t="shared" si="11"/>
        <v>2046</v>
      </c>
      <c r="M66" s="84">
        <v>0.01</v>
      </c>
      <c r="N66" s="91">
        <f t="shared" si="12"/>
        <v>2046</v>
      </c>
      <c r="O66" s="186">
        <v>0</v>
      </c>
      <c r="P66" s="91">
        <f t="shared" si="13"/>
        <v>2046</v>
      </c>
      <c r="Q66" s="187">
        <f t="shared" si="15"/>
        <v>0.01</v>
      </c>
      <c r="R66" s="91">
        <f t="shared" si="14"/>
        <v>2046</v>
      </c>
      <c r="S66" s="186">
        <f>F66*0.5</f>
        <v>0.01</v>
      </c>
      <c r="T66" s="92">
        <v>2046</v>
      </c>
      <c r="U66" s="95">
        <f t="shared" si="16"/>
        <v>5.0000000000000001E-3</v>
      </c>
      <c r="V66" s="41">
        <v>0.25</v>
      </c>
      <c r="Y66" s="180">
        <v>2013</v>
      </c>
      <c r="Z66" s="180">
        <v>253.4</v>
      </c>
      <c r="AA66" s="184">
        <v>6.6</v>
      </c>
      <c r="AB66" s="184">
        <v>2.7</v>
      </c>
      <c r="AC66" s="184">
        <v>38.6</v>
      </c>
    </row>
    <row r="67" spans="4:29">
      <c r="D67" s="90">
        <f t="shared" si="9"/>
        <v>2047</v>
      </c>
      <c r="E67" s="154">
        <f t="shared" ref="E67" si="45">E66</f>
        <v>0.02</v>
      </c>
      <c r="F67" s="154">
        <f t="shared" si="18"/>
        <v>0.02</v>
      </c>
      <c r="G67" t="s">
        <v>84</v>
      </c>
      <c r="J67" s="91">
        <f t="shared" si="10"/>
        <v>2047</v>
      </c>
      <c r="K67" s="89">
        <v>0</v>
      </c>
      <c r="L67" s="91">
        <f t="shared" si="11"/>
        <v>2047</v>
      </c>
      <c r="M67" s="89">
        <v>0</v>
      </c>
      <c r="N67" s="91">
        <f t="shared" si="12"/>
        <v>2047</v>
      </c>
      <c r="O67" s="186">
        <f>F67</f>
        <v>0.02</v>
      </c>
      <c r="P67" s="91">
        <f t="shared" si="13"/>
        <v>2047</v>
      </c>
      <c r="Q67" s="187">
        <f t="shared" si="15"/>
        <v>0.01</v>
      </c>
      <c r="R67" s="91">
        <f t="shared" si="14"/>
        <v>2047</v>
      </c>
      <c r="S67" s="186">
        <f t="shared" si="19"/>
        <v>0.02</v>
      </c>
      <c r="T67" s="92">
        <v>2047</v>
      </c>
      <c r="U67" s="95">
        <f t="shared" si="16"/>
        <v>5.0000000000000001E-3</v>
      </c>
      <c r="V67" s="41">
        <f t="shared" si="36"/>
        <v>0.25</v>
      </c>
      <c r="Y67" s="180">
        <v>2014</v>
      </c>
      <c r="Z67" s="180">
        <v>257.5</v>
      </c>
      <c r="AA67" s="184">
        <v>4.0999999999999996</v>
      </c>
      <c r="AB67" s="184">
        <v>1.6</v>
      </c>
      <c r="AC67" s="184">
        <v>40.200000000000003</v>
      </c>
    </row>
    <row r="68" spans="4:29">
      <c r="D68" s="90">
        <f t="shared" si="9"/>
        <v>2048</v>
      </c>
      <c r="E68" s="154">
        <f t="shared" ref="E68" si="46">E67</f>
        <v>0.02</v>
      </c>
      <c r="F68" s="154">
        <f t="shared" si="18"/>
        <v>0.02</v>
      </c>
      <c r="G68" t="s">
        <v>84</v>
      </c>
      <c r="J68" s="91">
        <f t="shared" si="10"/>
        <v>2048</v>
      </c>
      <c r="K68" s="89">
        <v>0</v>
      </c>
      <c r="L68" s="91">
        <f t="shared" si="11"/>
        <v>2048</v>
      </c>
      <c r="M68" s="89">
        <v>0</v>
      </c>
      <c r="N68" s="91">
        <f t="shared" si="12"/>
        <v>2048</v>
      </c>
      <c r="O68" s="186">
        <v>0</v>
      </c>
      <c r="P68" s="91">
        <f t="shared" si="13"/>
        <v>2048</v>
      </c>
      <c r="Q68" s="187">
        <f t="shared" si="15"/>
        <v>0.01</v>
      </c>
      <c r="R68" s="91">
        <f t="shared" si="14"/>
        <v>2048</v>
      </c>
      <c r="S68" s="186">
        <f>F68*0.5</f>
        <v>0.01</v>
      </c>
      <c r="T68" s="92">
        <v>2048</v>
      </c>
      <c r="U68" s="95">
        <f t="shared" si="16"/>
        <v>5.0000000000000001E-3</v>
      </c>
      <c r="V68" s="41">
        <f t="shared" si="36"/>
        <v>0.25</v>
      </c>
      <c r="Y68" s="180">
        <v>2015</v>
      </c>
      <c r="Z68" s="180">
        <v>260.60000000000002</v>
      </c>
      <c r="AA68" s="184">
        <v>3.1</v>
      </c>
      <c r="AB68" s="184">
        <v>1.2</v>
      </c>
      <c r="AC68" s="184">
        <v>41.4</v>
      </c>
    </row>
    <row r="69" spans="4:29">
      <c r="D69" s="90">
        <f t="shared" si="9"/>
        <v>2049</v>
      </c>
      <c r="E69" s="154">
        <f t="shared" ref="E69" si="47">E68</f>
        <v>0.02</v>
      </c>
      <c r="F69" s="154">
        <f t="shared" si="18"/>
        <v>0.02</v>
      </c>
      <c r="G69" t="s">
        <v>84</v>
      </c>
      <c r="J69" s="91">
        <f t="shared" si="10"/>
        <v>2049</v>
      </c>
      <c r="K69" s="89">
        <v>0</v>
      </c>
      <c r="L69" s="91">
        <f t="shared" si="11"/>
        <v>2049</v>
      </c>
      <c r="M69" s="89">
        <v>0</v>
      </c>
      <c r="N69" s="91">
        <f t="shared" si="12"/>
        <v>2049</v>
      </c>
      <c r="O69" s="186">
        <f>F69</f>
        <v>0.02</v>
      </c>
      <c r="P69" s="91">
        <f t="shared" si="13"/>
        <v>2049</v>
      </c>
      <c r="Q69" s="187">
        <f t="shared" si="15"/>
        <v>0.01</v>
      </c>
      <c r="R69" s="91">
        <f t="shared" si="14"/>
        <v>2049</v>
      </c>
      <c r="S69" s="186">
        <f>F69*0.5</f>
        <v>0.01</v>
      </c>
      <c r="T69" s="92">
        <v>2049</v>
      </c>
      <c r="U69" s="95">
        <f t="shared" si="16"/>
        <v>5.0000000000000001E-3</v>
      </c>
      <c r="V69" s="41">
        <f t="shared" si="36"/>
        <v>0.25</v>
      </c>
      <c r="Y69" s="180">
        <v>2016</v>
      </c>
      <c r="Z69" s="180">
        <v>267.10000000000002</v>
      </c>
      <c r="AA69" s="184">
        <v>6.5</v>
      </c>
      <c r="AB69" s="184">
        <v>2.5</v>
      </c>
      <c r="AC69" s="184">
        <v>43.9</v>
      </c>
    </row>
    <row r="70" spans="4:29">
      <c r="D70" s="90">
        <f t="shared" si="9"/>
        <v>2050</v>
      </c>
      <c r="E70" s="154">
        <f t="shared" ref="E70" si="48">E69</f>
        <v>0.02</v>
      </c>
      <c r="F70" s="154">
        <f t="shared" si="18"/>
        <v>0.02</v>
      </c>
      <c r="G70" t="s">
        <v>84</v>
      </c>
      <c r="J70" s="91">
        <f t="shared" si="10"/>
        <v>2050</v>
      </c>
      <c r="K70" s="89">
        <v>0</v>
      </c>
      <c r="L70" s="91">
        <f t="shared" si="11"/>
        <v>2050</v>
      </c>
      <c r="M70" s="89">
        <v>0</v>
      </c>
      <c r="N70" s="91">
        <f t="shared" si="12"/>
        <v>2050</v>
      </c>
      <c r="O70" s="186">
        <v>0</v>
      </c>
      <c r="P70" s="91">
        <f t="shared" si="13"/>
        <v>2050</v>
      </c>
      <c r="Q70" s="187">
        <f t="shared" si="15"/>
        <v>0.01</v>
      </c>
      <c r="R70" s="91">
        <f t="shared" si="14"/>
        <v>2050</v>
      </c>
      <c r="S70" s="186">
        <f t="shared" si="19"/>
        <v>0.02</v>
      </c>
      <c r="T70" s="92">
        <v>2050</v>
      </c>
      <c r="U70" s="95">
        <f t="shared" si="16"/>
        <v>5.0000000000000001E-3</v>
      </c>
      <c r="V70" s="41">
        <f t="shared" si="36"/>
        <v>0.25</v>
      </c>
      <c r="Y70" s="180">
        <v>2017</v>
      </c>
      <c r="Z70" s="180">
        <v>278.10000000000002</v>
      </c>
      <c r="AA70" s="184">
        <v>11</v>
      </c>
      <c r="AB70" s="184">
        <v>4.0999999999999996</v>
      </c>
      <c r="AC70" s="184">
        <v>48</v>
      </c>
    </row>
    <row r="71" spans="4:29">
      <c r="D71" s="90">
        <f t="shared" si="9"/>
        <v>2051</v>
      </c>
      <c r="E71" s="154">
        <f t="shared" ref="E71" si="49">E70</f>
        <v>0.02</v>
      </c>
      <c r="F71" s="154">
        <f t="shared" si="18"/>
        <v>0.02</v>
      </c>
      <c r="G71" t="s">
        <v>84</v>
      </c>
      <c r="J71" s="91">
        <f t="shared" si="10"/>
        <v>2051</v>
      </c>
      <c r="K71" s="89">
        <v>0</v>
      </c>
      <c r="L71" s="91">
        <f t="shared" si="11"/>
        <v>2051</v>
      </c>
      <c r="M71" s="89">
        <v>0</v>
      </c>
      <c r="N71" s="91">
        <f t="shared" si="12"/>
        <v>2051</v>
      </c>
      <c r="O71" s="186">
        <f>F71</f>
        <v>0.02</v>
      </c>
      <c r="P71" s="91">
        <f t="shared" si="13"/>
        <v>2051</v>
      </c>
      <c r="Q71" s="187">
        <f t="shared" si="15"/>
        <v>0.01</v>
      </c>
      <c r="R71" s="91">
        <f t="shared" si="14"/>
        <v>2051</v>
      </c>
      <c r="S71" s="186">
        <f>F71*0.5</f>
        <v>0.01</v>
      </c>
      <c r="T71" s="92">
        <v>2051</v>
      </c>
      <c r="U71" s="95">
        <f t="shared" si="16"/>
        <v>5.0000000000000001E-3</v>
      </c>
      <c r="V71" s="41">
        <f t="shared" si="36"/>
        <v>0.25</v>
      </c>
      <c r="Y71" s="180">
        <v>2018</v>
      </c>
      <c r="Z71" s="180">
        <v>285.60000000000002</v>
      </c>
      <c r="AA71" s="184">
        <v>7.5</v>
      </c>
      <c r="AB71" s="184">
        <v>2.7</v>
      </c>
      <c r="AC71" s="184">
        <v>50.7</v>
      </c>
    </row>
    <row r="72" spans="4:29">
      <c r="D72" s="90">
        <f t="shared" si="9"/>
        <v>2052</v>
      </c>
      <c r="E72" s="154">
        <f t="shared" ref="E72" si="50">E71</f>
        <v>0.02</v>
      </c>
      <c r="F72" s="154">
        <f t="shared" si="18"/>
        <v>0.02</v>
      </c>
      <c r="G72" t="s">
        <v>84</v>
      </c>
      <c r="J72" s="91">
        <f t="shared" si="10"/>
        <v>2052</v>
      </c>
      <c r="K72" s="89">
        <v>0</v>
      </c>
      <c r="L72" s="91">
        <f t="shared" si="11"/>
        <v>2052</v>
      </c>
      <c r="M72" s="89">
        <v>0</v>
      </c>
      <c r="N72" s="91">
        <f t="shared" si="12"/>
        <v>2052</v>
      </c>
      <c r="O72" s="186">
        <v>0</v>
      </c>
      <c r="P72" s="91">
        <f t="shared" si="13"/>
        <v>2052</v>
      </c>
      <c r="Q72" s="187">
        <f t="shared" si="15"/>
        <v>0.01</v>
      </c>
      <c r="R72" s="91">
        <f t="shared" si="14"/>
        <v>2052</v>
      </c>
      <c r="S72" s="186">
        <f>F72*0.5</f>
        <v>0.01</v>
      </c>
      <c r="T72" s="92">
        <v>2052</v>
      </c>
      <c r="U72" s="95">
        <f t="shared" si="16"/>
        <v>5.0000000000000001E-3</v>
      </c>
      <c r="V72" s="41">
        <f t="shared" si="36"/>
        <v>0.25</v>
      </c>
      <c r="Y72" s="180">
        <v>2019</v>
      </c>
      <c r="Z72" s="180">
        <v>291.89999999999998</v>
      </c>
      <c r="AA72" s="184">
        <v>6.3</v>
      </c>
      <c r="AB72" s="184">
        <v>2.2000000000000002</v>
      </c>
      <c r="AC72" s="184">
        <v>52.9</v>
      </c>
    </row>
    <row r="73" spans="4:29">
      <c r="D73" s="90">
        <f t="shared" si="9"/>
        <v>2053</v>
      </c>
      <c r="E73" s="154">
        <f t="shared" ref="E73" si="51">E72</f>
        <v>0.02</v>
      </c>
      <c r="F73" s="154">
        <f t="shared" si="18"/>
        <v>0.02</v>
      </c>
      <c r="G73" t="s">
        <v>84</v>
      </c>
      <c r="J73" s="91">
        <f t="shared" si="10"/>
        <v>2053</v>
      </c>
      <c r="K73" s="89">
        <v>0</v>
      </c>
      <c r="L73" s="91">
        <f t="shared" si="11"/>
        <v>2053</v>
      </c>
      <c r="M73" s="89">
        <v>0</v>
      </c>
      <c r="N73" s="91">
        <f t="shared" si="12"/>
        <v>2053</v>
      </c>
      <c r="O73" s="186">
        <f>F73</f>
        <v>0.02</v>
      </c>
      <c r="P73" s="91">
        <f t="shared" si="13"/>
        <v>2053</v>
      </c>
      <c r="Q73" s="187">
        <f t="shared" si="15"/>
        <v>0.01</v>
      </c>
      <c r="R73" s="91">
        <f t="shared" si="14"/>
        <v>2053</v>
      </c>
      <c r="S73" s="186">
        <f t="shared" si="19"/>
        <v>0.02</v>
      </c>
      <c r="T73" s="92">
        <v>2053</v>
      </c>
      <c r="U73" s="95">
        <f t="shared" si="16"/>
        <v>5.0000000000000001E-3</v>
      </c>
      <c r="V73" s="41">
        <f t="shared" si="36"/>
        <v>0.25</v>
      </c>
      <c r="Y73" s="180">
        <v>2020</v>
      </c>
      <c r="Z73" s="180">
        <v>294.3</v>
      </c>
      <c r="AA73" s="184">
        <v>2.4</v>
      </c>
      <c r="AB73" s="184">
        <v>0.8</v>
      </c>
      <c r="AC73" s="184">
        <v>53.7</v>
      </c>
    </row>
    <row r="74" spans="4:29">
      <c r="D74" s="90">
        <f t="shared" si="9"/>
        <v>2054</v>
      </c>
      <c r="E74" s="154">
        <f t="shared" ref="E74" si="52">E73</f>
        <v>0.02</v>
      </c>
      <c r="F74" s="154">
        <f t="shared" si="18"/>
        <v>0.02</v>
      </c>
      <c r="G74" t="s">
        <v>84</v>
      </c>
      <c r="J74" s="91">
        <f t="shared" si="10"/>
        <v>2054</v>
      </c>
      <c r="K74" s="89">
        <v>0</v>
      </c>
      <c r="L74" s="91">
        <f t="shared" si="11"/>
        <v>2054</v>
      </c>
      <c r="M74" s="89">
        <v>0</v>
      </c>
      <c r="N74" s="91">
        <f t="shared" si="12"/>
        <v>2054</v>
      </c>
      <c r="O74" s="186">
        <v>0</v>
      </c>
      <c r="P74" s="91">
        <f t="shared" si="13"/>
        <v>2054</v>
      </c>
      <c r="Q74" s="187">
        <f t="shared" si="15"/>
        <v>0.01</v>
      </c>
      <c r="R74" s="91">
        <f t="shared" si="14"/>
        <v>2054</v>
      </c>
      <c r="S74" s="186">
        <f>F74*0.5</f>
        <v>0.01</v>
      </c>
      <c r="T74" s="92">
        <v>2054</v>
      </c>
      <c r="U74" s="95">
        <f t="shared" si="16"/>
        <v>5.0000000000000001E-3</v>
      </c>
      <c r="V74" s="41">
        <v>0.25</v>
      </c>
    </row>
    <row r="75" spans="4:29">
      <c r="D75" s="90">
        <f t="shared" si="9"/>
        <v>2055</v>
      </c>
      <c r="E75" s="154">
        <f t="shared" ref="E75" si="53">E74</f>
        <v>0.02</v>
      </c>
      <c r="F75" s="154">
        <f t="shared" si="18"/>
        <v>0.02</v>
      </c>
      <c r="G75" t="s">
        <v>84</v>
      </c>
      <c r="J75" s="91">
        <f t="shared" si="10"/>
        <v>2055</v>
      </c>
      <c r="K75" s="89">
        <v>0</v>
      </c>
      <c r="L75" s="91">
        <f t="shared" si="11"/>
        <v>2055</v>
      </c>
      <c r="M75" s="89">
        <v>0</v>
      </c>
      <c r="N75" s="91">
        <f t="shared" si="12"/>
        <v>2055</v>
      </c>
      <c r="O75" s="186">
        <f>F75</f>
        <v>0.02</v>
      </c>
      <c r="P75" s="91">
        <f t="shared" si="13"/>
        <v>2055</v>
      </c>
      <c r="Q75" s="187">
        <f t="shared" si="15"/>
        <v>0.01</v>
      </c>
      <c r="R75" s="91">
        <f t="shared" si="14"/>
        <v>2055</v>
      </c>
      <c r="S75" s="186">
        <f>F75*0.5</f>
        <v>0.01</v>
      </c>
      <c r="T75" s="92">
        <v>2055</v>
      </c>
      <c r="U75" s="95">
        <f t="shared" si="16"/>
        <v>5.0000000000000001E-3</v>
      </c>
      <c r="V75" s="41">
        <f>V74</f>
        <v>0.25</v>
      </c>
    </row>
    <row r="76" spans="4:29">
      <c r="D76" s="90">
        <f t="shared" si="9"/>
        <v>2056</v>
      </c>
      <c r="E76" s="154">
        <f t="shared" ref="E76" si="54">E75</f>
        <v>0.02</v>
      </c>
      <c r="F76" s="154">
        <f t="shared" si="18"/>
        <v>0.02</v>
      </c>
      <c r="G76" t="s">
        <v>84</v>
      </c>
      <c r="J76" s="91">
        <f t="shared" si="10"/>
        <v>2056</v>
      </c>
      <c r="K76" s="89">
        <v>0</v>
      </c>
      <c r="L76" s="91">
        <f t="shared" si="11"/>
        <v>2056</v>
      </c>
      <c r="M76" s="89">
        <v>0</v>
      </c>
      <c r="N76" s="91">
        <f t="shared" si="12"/>
        <v>2056</v>
      </c>
      <c r="O76" s="186">
        <v>0</v>
      </c>
      <c r="P76" s="91">
        <f t="shared" si="13"/>
        <v>2056</v>
      </c>
      <c r="Q76" s="187">
        <f t="shared" si="15"/>
        <v>0.01</v>
      </c>
      <c r="R76" s="91">
        <f t="shared" si="14"/>
        <v>2056</v>
      </c>
      <c r="S76" s="186">
        <f t="shared" si="19"/>
        <v>0.02</v>
      </c>
      <c r="T76" s="92">
        <v>2056</v>
      </c>
      <c r="U76" s="95">
        <f t="shared" si="16"/>
        <v>5.0000000000000001E-3</v>
      </c>
      <c r="V76" s="41">
        <f t="shared" ref="V76:V80" si="55">V75</f>
        <v>0.25</v>
      </c>
    </row>
    <row r="77" spans="4:29">
      <c r="D77" s="90">
        <f t="shared" si="9"/>
        <v>2057</v>
      </c>
      <c r="E77" s="154">
        <f t="shared" ref="E77" si="56">E76</f>
        <v>0.02</v>
      </c>
      <c r="F77" s="154">
        <f t="shared" si="18"/>
        <v>0.02</v>
      </c>
      <c r="G77" t="s">
        <v>84</v>
      </c>
      <c r="J77" s="91">
        <f t="shared" si="10"/>
        <v>2057</v>
      </c>
      <c r="K77" s="89">
        <v>0</v>
      </c>
      <c r="L77" s="91">
        <f t="shared" si="11"/>
        <v>2057</v>
      </c>
      <c r="M77" s="89">
        <v>0</v>
      </c>
      <c r="N77" s="91">
        <f t="shared" si="12"/>
        <v>2057</v>
      </c>
      <c r="O77" s="186">
        <f>F77</f>
        <v>0.02</v>
      </c>
      <c r="P77" s="91">
        <f t="shared" si="13"/>
        <v>2057</v>
      </c>
      <c r="Q77" s="187">
        <f t="shared" si="15"/>
        <v>0.01</v>
      </c>
      <c r="R77" s="91">
        <f t="shared" si="14"/>
        <v>2057</v>
      </c>
      <c r="S77" s="186">
        <f>F77*0.5</f>
        <v>0.01</v>
      </c>
      <c r="T77" s="92">
        <v>2057</v>
      </c>
      <c r="U77" s="95">
        <f t="shared" si="16"/>
        <v>5.0000000000000001E-3</v>
      </c>
      <c r="V77" s="41">
        <f t="shared" si="55"/>
        <v>0.25</v>
      </c>
    </row>
    <row r="78" spans="4:29">
      <c r="D78" s="90">
        <f t="shared" si="9"/>
        <v>2058</v>
      </c>
      <c r="E78" s="154">
        <f t="shared" ref="E78" si="57">E77</f>
        <v>0.02</v>
      </c>
      <c r="F78" s="154">
        <f t="shared" si="18"/>
        <v>0.02</v>
      </c>
      <c r="G78" t="s">
        <v>84</v>
      </c>
      <c r="J78" s="91">
        <f t="shared" si="10"/>
        <v>2058</v>
      </c>
      <c r="K78" s="89">
        <v>0</v>
      </c>
      <c r="L78" s="91">
        <f t="shared" si="11"/>
        <v>2058</v>
      </c>
      <c r="M78" s="84">
        <v>0.01</v>
      </c>
      <c r="N78" s="91">
        <f t="shared" si="12"/>
        <v>2058</v>
      </c>
      <c r="O78" s="186">
        <v>0</v>
      </c>
      <c r="P78" s="91">
        <f t="shared" si="13"/>
        <v>2058</v>
      </c>
      <c r="Q78" s="187">
        <f t="shared" si="15"/>
        <v>0.01</v>
      </c>
      <c r="R78" s="91">
        <f t="shared" si="14"/>
        <v>2058</v>
      </c>
      <c r="S78" s="186">
        <f>F78*0.5</f>
        <v>0.01</v>
      </c>
      <c r="T78" s="92">
        <v>2058</v>
      </c>
      <c r="U78" s="95">
        <f t="shared" si="16"/>
        <v>5.0000000000000001E-3</v>
      </c>
      <c r="V78" s="41">
        <f t="shared" si="55"/>
        <v>0.25</v>
      </c>
    </row>
    <row r="79" spans="4:29">
      <c r="D79" s="90">
        <f t="shared" si="9"/>
        <v>2059</v>
      </c>
      <c r="E79" s="154">
        <f t="shared" ref="E79" si="58">E78</f>
        <v>0.02</v>
      </c>
      <c r="F79" s="154">
        <f t="shared" si="18"/>
        <v>0.02</v>
      </c>
      <c r="G79" t="s">
        <v>84</v>
      </c>
      <c r="J79" s="91">
        <f t="shared" si="10"/>
        <v>2059</v>
      </c>
      <c r="K79" s="89">
        <v>0</v>
      </c>
      <c r="L79" s="91">
        <f t="shared" si="11"/>
        <v>2059</v>
      </c>
      <c r="M79" s="89">
        <v>0</v>
      </c>
      <c r="N79" s="91">
        <f t="shared" si="12"/>
        <v>2059</v>
      </c>
      <c r="O79" s="186">
        <f>F79</f>
        <v>0.02</v>
      </c>
      <c r="P79" s="91">
        <f t="shared" si="13"/>
        <v>2059</v>
      </c>
      <c r="Q79" s="187">
        <f t="shared" si="15"/>
        <v>0.01</v>
      </c>
      <c r="R79" s="91">
        <f t="shared" si="14"/>
        <v>2059</v>
      </c>
      <c r="S79" s="186">
        <f t="shared" si="19"/>
        <v>0.02</v>
      </c>
      <c r="T79" s="92">
        <v>2059</v>
      </c>
      <c r="U79" s="95">
        <f t="shared" si="16"/>
        <v>5.0000000000000001E-3</v>
      </c>
      <c r="V79" s="41">
        <f t="shared" si="55"/>
        <v>0.25</v>
      </c>
    </row>
    <row r="80" spans="4:29">
      <c r="D80" s="90">
        <f t="shared" si="9"/>
        <v>2060</v>
      </c>
      <c r="E80" s="154">
        <f t="shared" ref="E80" si="59">E79</f>
        <v>0.02</v>
      </c>
      <c r="F80" s="154">
        <f t="shared" si="18"/>
        <v>0.02</v>
      </c>
      <c r="G80" t="s">
        <v>84</v>
      </c>
      <c r="J80" s="91">
        <f t="shared" si="10"/>
        <v>2060</v>
      </c>
      <c r="K80" s="89">
        <v>0</v>
      </c>
      <c r="L80" s="91">
        <f t="shared" si="11"/>
        <v>2060</v>
      </c>
      <c r="M80" s="89">
        <v>0</v>
      </c>
      <c r="N80" s="91">
        <f t="shared" si="12"/>
        <v>2060</v>
      </c>
      <c r="O80" s="186">
        <v>0</v>
      </c>
      <c r="P80" s="91">
        <f t="shared" si="13"/>
        <v>2060</v>
      </c>
      <c r="Q80" s="187">
        <f t="shared" si="15"/>
        <v>0.01</v>
      </c>
      <c r="R80" s="91">
        <f t="shared" si="14"/>
        <v>2060</v>
      </c>
      <c r="S80" s="186">
        <f>F80*0.5</f>
        <v>0.01</v>
      </c>
      <c r="T80" s="92">
        <v>2060</v>
      </c>
      <c r="U80" s="95">
        <f t="shared" si="16"/>
        <v>5.0000000000000001E-3</v>
      </c>
      <c r="V80" s="41">
        <f t="shared" si="55"/>
        <v>0.25</v>
      </c>
    </row>
    <row r="86" spans="9:12">
      <c r="I86" s="161"/>
    </row>
    <row r="90" spans="9:12">
      <c r="I90" s="172"/>
      <c r="J90" s="169"/>
    </row>
    <row r="91" spans="9:12">
      <c r="J91" s="20"/>
    </row>
    <row r="96" spans="9:12">
      <c r="J96" s="20"/>
      <c r="K96" s="172"/>
      <c r="L96" s="172"/>
    </row>
    <row r="97" spans="10:12">
      <c r="J97" s="20"/>
      <c r="K97" s="172"/>
      <c r="L97" s="172"/>
    </row>
    <row r="98" spans="10:12">
      <c r="L98" s="172"/>
    </row>
  </sheetData>
  <sheetProtection algorithmName="SHA-512" hashValue="DN8mrbQeedZu2YPEiR87dIn3TIQbFHiHpuUkTrdLR4bJute0nW5msrkiVISLAn6Pi0v3aV7P55YChHbqTDkjRQ==" saltValue="gzWZ0j73dBU4Ie/IEz/2tQ==" spinCount="100000" sheet="1" objects="1" scenarios="1"/>
  <mergeCells count="20">
    <mergeCell ref="R5:S5"/>
    <mergeCell ref="J5:K5"/>
    <mergeCell ref="L5:M5"/>
    <mergeCell ref="N5:O5"/>
    <mergeCell ref="J3:V4"/>
    <mergeCell ref="F7:F8"/>
    <mergeCell ref="E7:E8"/>
    <mergeCell ref="Y6:AC6"/>
    <mergeCell ref="AE6:AI6"/>
    <mergeCell ref="T6:V6"/>
    <mergeCell ref="N6:O6"/>
    <mergeCell ref="L6:M6"/>
    <mergeCell ref="J6:K6"/>
    <mergeCell ref="R6:S6"/>
    <mergeCell ref="Y5:AK5"/>
    <mergeCell ref="T5:V5"/>
    <mergeCell ref="D5:F5"/>
    <mergeCell ref="D6:F6"/>
    <mergeCell ref="P5:Q5"/>
    <mergeCell ref="P6:Q6"/>
  </mergeCells>
  <conditionalFormatting sqref="K9:K80">
    <cfRule type="cellIs" dxfId="49" priority="56" operator="equal">
      <formula>0</formula>
    </cfRule>
    <cfRule type="cellIs" dxfId="48" priority="57" operator="greaterThan">
      <formula>0</formula>
    </cfRule>
  </conditionalFormatting>
  <conditionalFormatting sqref="M9 M42 M54 M66 M78">
    <cfRule type="cellIs" dxfId="47" priority="54" operator="equal">
      <formula>0</formula>
    </cfRule>
    <cfRule type="cellIs" dxfId="46" priority="55" operator="greaterThan">
      <formula>0</formula>
    </cfRule>
  </conditionalFormatting>
  <conditionalFormatting sqref="O9 O41:O80">
    <cfRule type="cellIs" dxfId="45" priority="52" operator="greaterThan">
      <formula>0</formula>
    </cfRule>
    <cfRule type="cellIs" dxfId="44" priority="53" operator="equal">
      <formula>0</formula>
    </cfRule>
  </conditionalFormatting>
  <conditionalFormatting sqref="Q9 Q41:Q80">
    <cfRule type="cellIs" dxfId="43" priority="50" operator="greaterThan">
      <formula>0</formula>
    </cfRule>
    <cfRule type="cellIs" dxfId="42" priority="51" operator="equal">
      <formula>0</formula>
    </cfRule>
  </conditionalFormatting>
  <conditionalFormatting sqref="S41:S80">
    <cfRule type="cellIs" dxfId="41" priority="48" operator="greaterThan">
      <formula>0</formula>
    </cfRule>
    <cfRule type="cellIs" dxfId="40" priority="49" operator="equal">
      <formula>0</formula>
    </cfRule>
  </conditionalFormatting>
  <conditionalFormatting sqref="U41:U80">
    <cfRule type="cellIs" dxfId="39" priority="46" operator="equal">
      <formula>0</formula>
    </cfRule>
    <cfRule type="cellIs" dxfId="38" priority="47" operator="greaterThan">
      <formula>0</formula>
    </cfRule>
  </conditionalFormatting>
  <conditionalFormatting sqref="M41">
    <cfRule type="cellIs" dxfId="37" priority="36" operator="equal">
      <formula>0</formula>
    </cfRule>
    <cfRule type="cellIs" dxfId="36" priority="37" operator="greaterThan">
      <formula>0</formula>
    </cfRule>
  </conditionalFormatting>
  <conditionalFormatting sqref="M43:M53">
    <cfRule type="cellIs" dxfId="35" priority="34" operator="equal">
      <formula>0</formula>
    </cfRule>
    <cfRule type="cellIs" dxfId="34" priority="35" operator="greaterThan">
      <formula>0</formula>
    </cfRule>
  </conditionalFormatting>
  <conditionalFormatting sqref="M55:M65">
    <cfRule type="cellIs" dxfId="33" priority="32" operator="equal">
      <formula>0</formula>
    </cfRule>
    <cfRule type="cellIs" dxfId="32" priority="33" operator="greaterThan">
      <formula>0</formula>
    </cfRule>
  </conditionalFormatting>
  <conditionalFormatting sqref="M67:M77">
    <cfRule type="cellIs" dxfId="31" priority="30" operator="equal">
      <formula>0</formula>
    </cfRule>
    <cfRule type="cellIs" dxfId="30" priority="31" operator="greaterThan">
      <formula>0</formula>
    </cfRule>
  </conditionalFormatting>
  <conditionalFormatting sqref="M79:M80">
    <cfRule type="cellIs" dxfId="29" priority="28" operator="equal">
      <formula>0</formula>
    </cfRule>
    <cfRule type="cellIs" dxfId="28" priority="29" operator="greaterThan">
      <formula>0</formula>
    </cfRule>
  </conditionalFormatting>
  <conditionalFormatting sqref="M39:M40">
    <cfRule type="cellIs" dxfId="27" priority="26" operator="equal">
      <formula>0</formula>
    </cfRule>
    <cfRule type="cellIs" dxfId="26" priority="27" operator="greaterThan">
      <formula>0</formula>
    </cfRule>
  </conditionalFormatting>
  <conditionalFormatting sqref="O39:O40">
    <cfRule type="cellIs" dxfId="25" priority="24" operator="equal">
      <formula>0</formula>
    </cfRule>
    <cfRule type="cellIs" dxfId="24" priority="25" operator="greaterThan">
      <formula>0</formula>
    </cfRule>
  </conditionalFormatting>
  <conditionalFormatting sqref="Q39:Q40">
    <cfRule type="cellIs" dxfId="23" priority="22" operator="equal">
      <formula>0</formula>
    </cfRule>
    <cfRule type="cellIs" dxfId="22" priority="23" operator="greaterThan">
      <formula>0</formula>
    </cfRule>
  </conditionalFormatting>
  <conditionalFormatting sqref="S39:S40">
    <cfRule type="cellIs" dxfId="21" priority="20" operator="equal">
      <formula>0</formula>
    </cfRule>
    <cfRule type="cellIs" dxfId="20" priority="21" operator="greaterThan">
      <formula>0</formula>
    </cfRule>
  </conditionalFormatting>
  <conditionalFormatting sqref="U39:U40">
    <cfRule type="cellIs" dxfId="19" priority="18" operator="equal">
      <formula>0</formula>
    </cfRule>
    <cfRule type="cellIs" dxfId="18" priority="19" operator="greaterThan">
      <formula>0</formula>
    </cfRule>
  </conditionalFormatting>
  <conditionalFormatting sqref="M10:M38">
    <cfRule type="cellIs" dxfId="17" priority="16" operator="equal">
      <formula>0</formula>
    </cfRule>
    <cfRule type="cellIs" dxfId="16" priority="17" operator="greaterThan">
      <formula>0</formula>
    </cfRule>
  </conditionalFormatting>
  <conditionalFormatting sqref="O10:O38">
    <cfRule type="cellIs" dxfId="15" priority="14" operator="greaterThan">
      <formula>0</formula>
    </cfRule>
    <cfRule type="cellIs" dxfId="14" priority="15" operator="equal">
      <formula>0</formula>
    </cfRule>
  </conditionalFormatting>
  <conditionalFormatting sqref="U10:U38">
    <cfRule type="cellIs" dxfId="13" priority="4" operator="greaterThan">
      <formula>0</formula>
    </cfRule>
    <cfRule type="cellIs" dxfId="12" priority="5" operator="equal">
      <formula>0</formula>
    </cfRule>
  </conditionalFormatting>
  <conditionalFormatting sqref="Q10:Q38">
    <cfRule type="cellIs" dxfId="11" priority="12" operator="greaterThan">
      <formula>0</formula>
    </cfRule>
    <cfRule type="cellIs" dxfId="10" priority="13" operator="equal">
      <formula>0</formula>
    </cfRule>
  </conditionalFormatting>
  <conditionalFormatting sqref="S9">
    <cfRule type="cellIs" dxfId="9" priority="10" operator="greaterThan">
      <formula>0</formula>
    </cfRule>
    <cfRule type="cellIs" dxfId="8" priority="11" operator="equal">
      <formula>0</formula>
    </cfRule>
  </conditionalFormatting>
  <conditionalFormatting sqref="S10:S38">
    <cfRule type="cellIs" dxfId="7" priority="8" operator="greaterThan">
      <formula>0</formula>
    </cfRule>
    <cfRule type="cellIs" dxfId="6" priority="9" operator="equal">
      <formula>0</formula>
    </cfRule>
  </conditionalFormatting>
  <conditionalFormatting sqref="U9">
    <cfRule type="cellIs" dxfId="5" priority="6" operator="greaterThan">
      <formula>0</formula>
    </cfRule>
    <cfRule type="cellIs" dxfId="4" priority="7" operator="equal">
      <formula>0</formula>
    </cfRule>
  </conditionalFormatting>
  <conditionalFormatting sqref="F9:F40">
    <cfRule type="cellIs" dxfId="3" priority="1" operator="greaterThan">
      <formula>0</formula>
    </cfRule>
    <cfRule type="cellIs" dxfId="2" priority="2" operator="equal">
      <formula>0</formula>
    </cfRule>
    <cfRule type="cellIs" dxfId="1" priority="3"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2DB6F-43F6-DE43-A36A-BC3F4BAF25A8}">
  <dimension ref="B3:BV72"/>
  <sheetViews>
    <sheetView zoomScale="80" zoomScaleNormal="80" workbookViewId="0">
      <selection activeCell="B78" sqref="B78"/>
    </sheetView>
  </sheetViews>
  <sheetFormatPr baseColWidth="10" defaultRowHeight="15"/>
  <cols>
    <col min="2" max="2" width="31.5" customWidth="1"/>
    <col min="3" max="3" width="5.6640625" customWidth="1"/>
    <col min="4" max="4" width="6.1640625" bestFit="1" customWidth="1"/>
    <col min="5" max="5" width="7.5" bestFit="1" customWidth="1"/>
    <col min="6" max="11" width="6.1640625" bestFit="1" customWidth="1"/>
    <col min="12" max="18" width="6.83203125" bestFit="1" customWidth="1"/>
    <col min="19" max="56" width="8.1640625" bestFit="1" customWidth="1"/>
    <col min="57" max="74" width="9.33203125" bestFit="1" customWidth="1"/>
  </cols>
  <sheetData>
    <row r="3" spans="2:74">
      <c r="C3" t="s">
        <v>0</v>
      </c>
    </row>
    <row r="4" spans="2:74">
      <c r="B4" s="101"/>
      <c r="C4" s="414">
        <v>89</v>
      </c>
      <c r="D4" s="414">
        <f>C4+1</f>
        <v>90</v>
      </c>
      <c r="E4" s="414">
        <f t="shared" ref="E4:BP4" si="0">D4+1</f>
        <v>91</v>
      </c>
      <c r="F4" s="414">
        <f t="shared" si="0"/>
        <v>92</v>
      </c>
      <c r="G4" s="414">
        <f t="shared" si="0"/>
        <v>93</v>
      </c>
      <c r="H4" s="414">
        <f t="shared" si="0"/>
        <v>94</v>
      </c>
      <c r="I4" s="418">
        <f t="shared" si="0"/>
        <v>95</v>
      </c>
      <c r="J4" s="414">
        <f t="shared" si="0"/>
        <v>96</v>
      </c>
      <c r="K4" s="414">
        <f t="shared" si="0"/>
        <v>97</v>
      </c>
      <c r="L4" s="414">
        <f t="shared" si="0"/>
        <v>98</v>
      </c>
      <c r="M4" s="90">
        <f t="shared" si="0"/>
        <v>99</v>
      </c>
      <c r="N4" s="90">
        <v>2000</v>
      </c>
      <c r="O4" s="90">
        <v>1</v>
      </c>
      <c r="P4" s="90">
        <f t="shared" si="0"/>
        <v>2</v>
      </c>
      <c r="Q4" s="415">
        <f t="shared" si="0"/>
        <v>3</v>
      </c>
      <c r="R4" s="415">
        <f t="shared" si="0"/>
        <v>4</v>
      </c>
      <c r="S4" s="415">
        <f t="shared" si="0"/>
        <v>5</v>
      </c>
      <c r="T4" s="415">
        <f>S4+1</f>
        <v>6</v>
      </c>
      <c r="U4" s="415">
        <f t="shared" si="0"/>
        <v>7</v>
      </c>
      <c r="V4" s="415">
        <f t="shared" si="0"/>
        <v>8</v>
      </c>
      <c r="W4" s="415">
        <f t="shared" si="0"/>
        <v>9</v>
      </c>
      <c r="X4" s="415">
        <f t="shared" si="0"/>
        <v>10</v>
      </c>
      <c r="Y4" s="415">
        <f t="shared" si="0"/>
        <v>11</v>
      </c>
      <c r="Z4" s="415">
        <f t="shared" si="0"/>
        <v>12</v>
      </c>
      <c r="AA4" s="415">
        <f t="shared" si="0"/>
        <v>13</v>
      </c>
      <c r="AB4" s="415">
        <f t="shared" si="0"/>
        <v>14</v>
      </c>
      <c r="AC4" s="415">
        <f t="shared" si="0"/>
        <v>15</v>
      </c>
      <c r="AD4" s="415">
        <f t="shared" si="0"/>
        <v>16</v>
      </c>
      <c r="AE4" s="415">
        <f t="shared" si="0"/>
        <v>17</v>
      </c>
      <c r="AF4" s="415">
        <f t="shared" si="0"/>
        <v>18</v>
      </c>
      <c r="AG4" s="415">
        <f t="shared" si="0"/>
        <v>19</v>
      </c>
      <c r="AH4" s="415">
        <f t="shared" si="0"/>
        <v>20</v>
      </c>
      <c r="AI4" s="415">
        <f t="shared" si="0"/>
        <v>21</v>
      </c>
      <c r="AJ4" s="415">
        <f t="shared" si="0"/>
        <v>22</v>
      </c>
      <c r="AK4" s="415">
        <f t="shared" si="0"/>
        <v>23</v>
      </c>
      <c r="AL4" s="415">
        <f t="shared" si="0"/>
        <v>24</v>
      </c>
      <c r="AM4" s="415">
        <f t="shared" si="0"/>
        <v>25</v>
      </c>
      <c r="AN4" s="415">
        <f t="shared" si="0"/>
        <v>26</v>
      </c>
      <c r="AO4" s="415">
        <f t="shared" si="0"/>
        <v>27</v>
      </c>
      <c r="AP4" s="415">
        <f t="shared" si="0"/>
        <v>28</v>
      </c>
      <c r="AQ4" s="415">
        <f t="shared" si="0"/>
        <v>29</v>
      </c>
      <c r="AR4" s="415">
        <f t="shared" si="0"/>
        <v>30</v>
      </c>
      <c r="AS4" s="415">
        <f t="shared" si="0"/>
        <v>31</v>
      </c>
      <c r="AT4" s="415">
        <f t="shared" si="0"/>
        <v>32</v>
      </c>
      <c r="AU4" s="415">
        <f t="shared" si="0"/>
        <v>33</v>
      </c>
      <c r="AV4" s="415">
        <f t="shared" si="0"/>
        <v>34</v>
      </c>
      <c r="AW4" s="415">
        <f t="shared" si="0"/>
        <v>35</v>
      </c>
      <c r="AX4" s="415">
        <f t="shared" si="0"/>
        <v>36</v>
      </c>
      <c r="AY4" s="415">
        <f t="shared" si="0"/>
        <v>37</v>
      </c>
      <c r="AZ4" s="415">
        <f t="shared" si="0"/>
        <v>38</v>
      </c>
      <c r="BA4" s="415">
        <f t="shared" si="0"/>
        <v>39</v>
      </c>
      <c r="BB4" s="415">
        <f t="shared" si="0"/>
        <v>40</v>
      </c>
      <c r="BC4" s="415">
        <f t="shared" si="0"/>
        <v>41</v>
      </c>
      <c r="BD4" s="415">
        <f t="shared" si="0"/>
        <v>42</v>
      </c>
      <c r="BE4" s="415">
        <f t="shared" si="0"/>
        <v>43</v>
      </c>
      <c r="BF4" s="415">
        <f t="shared" si="0"/>
        <v>44</v>
      </c>
      <c r="BG4" s="415">
        <f t="shared" si="0"/>
        <v>45</v>
      </c>
      <c r="BH4" s="415">
        <f t="shared" si="0"/>
        <v>46</v>
      </c>
      <c r="BI4" s="415">
        <f t="shared" si="0"/>
        <v>47</v>
      </c>
      <c r="BJ4" s="415">
        <f t="shared" si="0"/>
        <v>48</v>
      </c>
      <c r="BK4" s="415">
        <f t="shared" si="0"/>
        <v>49</v>
      </c>
      <c r="BL4" s="415">
        <f t="shared" si="0"/>
        <v>50</v>
      </c>
      <c r="BM4" s="415">
        <f t="shared" si="0"/>
        <v>51</v>
      </c>
      <c r="BN4" s="415">
        <f t="shared" si="0"/>
        <v>52</v>
      </c>
      <c r="BO4" s="415">
        <f t="shared" si="0"/>
        <v>53</v>
      </c>
      <c r="BP4" s="415">
        <f t="shared" si="0"/>
        <v>54</v>
      </c>
      <c r="BQ4" s="415">
        <f t="shared" ref="BQ4:BV4" si="1">BP4+1</f>
        <v>55</v>
      </c>
      <c r="BR4" s="415">
        <f t="shared" si="1"/>
        <v>56</v>
      </c>
      <c r="BS4" s="83">
        <f t="shared" si="1"/>
        <v>57</v>
      </c>
      <c r="BT4" s="83">
        <f t="shared" si="1"/>
        <v>58</v>
      </c>
      <c r="BU4" s="83">
        <f t="shared" si="1"/>
        <v>59</v>
      </c>
      <c r="BV4" s="83">
        <f t="shared" si="1"/>
        <v>60</v>
      </c>
    </row>
    <row r="5" spans="2:74" ht="19">
      <c r="B5" s="417" t="s">
        <v>42</v>
      </c>
      <c r="C5" s="404">
        <v>7.0000000000000007E-2</v>
      </c>
      <c r="D5" s="405">
        <v>5.8000000000000003E-2</v>
      </c>
      <c r="E5" s="405">
        <v>0.1</v>
      </c>
      <c r="F5" s="405">
        <v>4.1000000000000002E-2</v>
      </c>
      <c r="G5" s="405">
        <v>1.7000000000000001E-2</v>
      </c>
      <c r="H5" s="405">
        <v>1.2500000000000001E-2</v>
      </c>
      <c r="I5" s="419">
        <v>0</v>
      </c>
      <c r="J5" s="405">
        <v>0.03</v>
      </c>
      <c r="K5" s="405">
        <v>2.8000000000000001E-2</v>
      </c>
      <c r="L5" s="405">
        <v>3.3000000000000002E-2</v>
      </c>
      <c r="M5" s="405">
        <v>2.4E-2</v>
      </c>
      <c r="N5" s="405">
        <v>0.02</v>
      </c>
      <c r="O5" s="405">
        <v>2.7E-2</v>
      </c>
      <c r="P5" s="405">
        <v>1.2999999999999999E-2</v>
      </c>
      <c r="Q5" s="405">
        <v>2.9000000000000001E-2</v>
      </c>
      <c r="R5" s="405">
        <v>2.5999999999999999E-2</v>
      </c>
      <c r="S5" s="405">
        <v>3.2000000000000001E-2</v>
      </c>
      <c r="T5" s="405">
        <v>2.4E-2</v>
      </c>
      <c r="U5" s="405">
        <v>4.2000000000000003E-2</v>
      </c>
      <c r="V5" s="405">
        <v>4.1000000000000002E-2</v>
      </c>
      <c r="W5" s="405">
        <v>1E-3</v>
      </c>
      <c r="X5" s="405">
        <v>3.6999999999999998E-2</v>
      </c>
      <c r="Y5" s="405">
        <v>5.1999999999999998E-2</v>
      </c>
      <c r="Z5" s="405">
        <v>3.9E-2</v>
      </c>
      <c r="AA5" s="405">
        <v>3.3000000000000002E-2</v>
      </c>
      <c r="AB5" s="405">
        <v>2.8000000000000001E-2</v>
      </c>
      <c r="AC5" s="405">
        <v>1.0999999999999999E-2</v>
      </c>
      <c r="AD5" s="405">
        <v>1.2999999999999999E-2</v>
      </c>
      <c r="AE5" s="405">
        <v>2.5999999999999999E-2</v>
      </c>
      <c r="AF5" s="406">
        <v>0.04</v>
      </c>
      <c r="AG5" s="405">
        <v>2.5399999999999999E-2</v>
      </c>
      <c r="AH5" s="405">
        <v>2.69E-2</v>
      </c>
      <c r="AI5" s="403">
        <v>0.02</v>
      </c>
      <c r="AJ5" s="403">
        <f t="shared" ref="AJ5:BV5" si="2">AI5</f>
        <v>0.02</v>
      </c>
      <c r="AK5" s="403">
        <f t="shared" si="2"/>
        <v>0.02</v>
      </c>
      <c r="AL5" s="403">
        <f t="shared" si="2"/>
        <v>0.02</v>
      </c>
      <c r="AM5" s="403">
        <f t="shared" si="2"/>
        <v>0.02</v>
      </c>
      <c r="AN5" s="403">
        <f t="shared" si="2"/>
        <v>0.02</v>
      </c>
      <c r="AO5" s="403">
        <f t="shared" si="2"/>
        <v>0.02</v>
      </c>
      <c r="AP5" s="403">
        <f t="shared" si="2"/>
        <v>0.02</v>
      </c>
      <c r="AQ5" s="403">
        <f t="shared" si="2"/>
        <v>0.02</v>
      </c>
      <c r="AR5" s="403">
        <f t="shared" si="2"/>
        <v>0.02</v>
      </c>
      <c r="AS5" s="403">
        <f t="shared" si="2"/>
        <v>0.02</v>
      </c>
      <c r="AT5" s="403">
        <f t="shared" si="2"/>
        <v>0.02</v>
      </c>
      <c r="AU5" s="403">
        <f t="shared" si="2"/>
        <v>0.02</v>
      </c>
      <c r="AV5" s="403">
        <f t="shared" si="2"/>
        <v>0.02</v>
      </c>
      <c r="AW5" s="403">
        <f t="shared" si="2"/>
        <v>0.02</v>
      </c>
      <c r="AX5" s="403">
        <f t="shared" si="2"/>
        <v>0.02</v>
      </c>
      <c r="AY5" s="403">
        <f t="shared" si="2"/>
        <v>0.02</v>
      </c>
      <c r="AZ5" s="403">
        <f t="shared" si="2"/>
        <v>0.02</v>
      </c>
      <c r="BA5" s="403">
        <f t="shared" si="2"/>
        <v>0.02</v>
      </c>
      <c r="BB5" s="403">
        <f t="shared" si="2"/>
        <v>0.02</v>
      </c>
      <c r="BC5" s="403">
        <f t="shared" si="2"/>
        <v>0.02</v>
      </c>
      <c r="BD5" s="403">
        <f t="shared" si="2"/>
        <v>0.02</v>
      </c>
      <c r="BE5" s="403">
        <f t="shared" si="2"/>
        <v>0.02</v>
      </c>
      <c r="BF5" s="403">
        <f t="shared" si="2"/>
        <v>0.02</v>
      </c>
      <c r="BG5" s="403">
        <f t="shared" si="2"/>
        <v>0.02</v>
      </c>
      <c r="BH5" s="403">
        <f t="shared" si="2"/>
        <v>0.02</v>
      </c>
      <c r="BI5" s="403">
        <f t="shared" si="2"/>
        <v>0.02</v>
      </c>
      <c r="BJ5" s="403">
        <f t="shared" si="2"/>
        <v>0.02</v>
      </c>
      <c r="BK5" s="403">
        <f t="shared" si="2"/>
        <v>0.02</v>
      </c>
      <c r="BL5" s="403">
        <f t="shared" si="2"/>
        <v>0.02</v>
      </c>
      <c r="BM5" s="403">
        <f t="shared" si="2"/>
        <v>0.02</v>
      </c>
      <c r="BN5" s="403">
        <f t="shared" si="2"/>
        <v>0.02</v>
      </c>
      <c r="BO5" s="403">
        <f t="shared" si="2"/>
        <v>0.02</v>
      </c>
      <c r="BP5" s="403">
        <f t="shared" si="2"/>
        <v>0.02</v>
      </c>
      <c r="BQ5" s="403">
        <f t="shared" si="2"/>
        <v>0.02</v>
      </c>
      <c r="BR5" s="403">
        <f t="shared" si="2"/>
        <v>0.02</v>
      </c>
      <c r="BS5" s="403">
        <f t="shared" si="2"/>
        <v>0.02</v>
      </c>
      <c r="BT5" s="403">
        <f t="shared" si="2"/>
        <v>0.02</v>
      </c>
      <c r="BU5" s="403">
        <f t="shared" si="2"/>
        <v>0.02</v>
      </c>
      <c r="BV5" s="403">
        <f t="shared" si="2"/>
        <v>0.02</v>
      </c>
    </row>
    <row r="6" spans="2:74" ht="19">
      <c r="B6" s="417" t="s">
        <v>210</v>
      </c>
      <c r="C6" s="416">
        <v>7.0000000000000007E-2</v>
      </c>
      <c r="D6" s="407">
        <v>5.8000000000000003E-2</v>
      </c>
      <c r="E6" s="408">
        <v>0.1</v>
      </c>
      <c r="F6" s="408">
        <v>4.1000000000000002E-2</v>
      </c>
      <c r="G6" s="408">
        <v>1.7000000000000001E-2</v>
      </c>
      <c r="H6" s="408">
        <v>1.2500000000000001E-2</v>
      </c>
      <c r="I6" s="420">
        <v>0</v>
      </c>
      <c r="J6" s="408">
        <v>0.03</v>
      </c>
      <c r="K6" s="408">
        <v>2.8000000000000001E-2</v>
      </c>
      <c r="L6" s="408">
        <v>0</v>
      </c>
      <c r="M6" s="409">
        <v>0.04</v>
      </c>
      <c r="N6" s="409">
        <v>0.02</v>
      </c>
      <c r="O6" s="409">
        <v>1.4999999999999999E-2</v>
      </c>
      <c r="P6" s="409">
        <v>0</v>
      </c>
      <c r="Q6" s="408">
        <v>0</v>
      </c>
      <c r="R6" s="409">
        <v>0.01</v>
      </c>
      <c r="S6" s="408">
        <v>0</v>
      </c>
      <c r="T6" s="408">
        <v>0</v>
      </c>
      <c r="U6" s="408">
        <v>0</v>
      </c>
      <c r="V6" s="409">
        <v>0.01</v>
      </c>
      <c r="W6" s="408">
        <v>0</v>
      </c>
      <c r="X6" s="408">
        <v>0</v>
      </c>
      <c r="Y6" s="408">
        <v>0</v>
      </c>
      <c r="Z6" s="408">
        <v>0</v>
      </c>
      <c r="AA6" s="408">
        <v>0</v>
      </c>
      <c r="AB6" s="408">
        <v>0</v>
      </c>
      <c r="AC6" s="409">
        <v>0</v>
      </c>
      <c r="AD6" s="409">
        <v>0</v>
      </c>
      <c r="AE6" s="409">
        <v>0</v>
      </c>
      <c r="AF6" s="409">
        <v>0</v>
      </c>
      <c r="AG6" s="403">
        <v>0</v>
      </c>
      <c r="AH6" s="403">
        <v>0</v>
      </c>
      <c r="AI6" s="403">
        <f>AH6</f>
        <v>0</v>
      </c>
      <c r="AJ6" s="403">
        <f t="shared" ref="AJ6:BV6" si="3">AI6</f>
        <v>0</v>
      </c>
      <c r="AK6" s="403">
        <f t="shared" si="3"/>
        <v>0</v>
      </c>
      <c r="AL6" s="403">
        <f t="shared" si="3"/>
        <v>0</v>
      </c>
      <c r="AM6" s="403">
        <f t="shared" si="3"/>
        <v>0</v>
      </c>
      <c r="AN6" s="403">
        <f t="shared" si="3"/>
        <v>0</v>
      </c>
      <c r="AO6" s="403">
        <f t="shared" si="3"/>
        <v>0</v>
      </c>
      <c r="AP6" s="403">
        <f t="shared" si="3"/>
        <v>0</v>
      </c>
      <c r="AQ6" s="403">
        <f t="shared" si="3"/>
        <v>0</v>
      </c>
      <c r="AR6" s="403">
        <f t="shared" si="3"/>
        <v>0</v>
      </c>
      <c r="AS6" s="403">
        <f t="shared" si="3"/>
        <v>0</v>
      </c>
      <c r="AT6" s="403">
        <f t="shared" si="3"/>
        <v>0</v>
      </c>
      <c r="AU6" s="403">
        <f t="shared" si="3"/>
        <v>0</v>
      </c>
      <c r="AV6" s="403">
        <f t="shared" si="3"/>
        <v>0</v>
      </c>
      <c r="AW6" s="403">
        <f t="shared" si="3"/>
        <v>0</v>
      </c>
      <c r="AX6" s="403">
        <f t="shared" si="3"/>
        <v>0</v>
      </c>
      <c r="AY6" s="403">
        <f t="shared" si="3"/>
        <v>0</v>
      </c>
      <c r="AZ6" s="403">
        <f t="shared" si="3"/>
        <v>0</v>
      </c>
      <c r="BA6" s="403">
        <f t="shared" si="3"/>
        <v>0</v>
      </c>
      <c r="BB6" s="403">
        <f t="shared" si="3"/>
        <v>0</v>
      </c>
      <c r="BC6" s="403">
        <f t="shared" si="3"/>
        <v>0</v>
      </c>
      <c r="BD6" s="403">
        <f t="shared" si="3"/>
        <v>0</v>
      </c>
      <c r="BE6" s="403">
        <f t="shared" si="3"/>
        <v>0</v>
      </c>
      <c r="BF6" s="403">
        <f t="shared" si="3"/>
        <v>0</v>
      </c>
      <c r="BG6" s="403">
        <f t="shared" si="3"/>
        <v>0</v>
      </c>
      <c r="BH6" s="403">
        <f t="shared" si="3"/>
        <v>0</v>
      </c>
      <c r="BI6" s="403">
        <f t="shared" si="3"/>
        <v>0</v>
      </c>
      <c r="BJ6" s="403">
        <f t="shared" si="3"/>
        <v>0</v>
      </c>
      <c r="BK6" s="403">
        <f t="shared" si="3"/>
        <v>0</v>
      </c>
      <c r="BL6" s="403">
        <f t="shared" si="3"/>
        <v>0</v>
      </c>
      <c r="BM6" s="403">
        <f t="shared" si="3"/>
        <v>0</v>
      </c>
      <c r="BN6" s="403">
        <f t="shared" si="3"/>
        <v>0</v>
      </c>
      <c r="BO6" s="403">
        <f t="shared" si="3"/>
        <v>0</v>
      </c>
      <c r="BP6" s="403">
        <f t="shared" si="3"/>
        <v>0</v>
      </c>
      <c r="BQ6" s="403">
        <f t="shared" si="3"/>
        <v>0</v>
      </c>
      <c r="BR6" s="403">
        <f t="shared" si="3"/>
        <v>0</v>
      </c>
      <c r="BS6" s="403">
        <f t="shared" si="3"/>
        <v>0</v>
      </c>
      <c r="BT6" s="403">
        <f t="shared" si="3"/>
        <v>0</v>
      </c>
      <c r="BU6" s="403">
        <f t="shared" si="3"/>
        <v>0</v>
      </c>
      <c r="BV6" s="403">
        <f t="shared" si="3"/>
        <v>0</v>
      </c>
    </row>
    <row r="7" spans="2:74" ht="19">
      <c r="B7" s="417" t="s">
        <v>215</v>
      </c>
      <c r="C7" s="407">
        <f>C6-C5</f>
        <v>0</v>
      </c>
      <c r="D7" s="407">
        <f t="shared" ref="D7:BO7" si="4">D6-D5</f>
        <v>0</v>
      </c>
      <c r="E7" s="407">
        <f t="shared" si="4"/>
        <v>0</v>
      </c>
      <c r="F7" s="407">
        <f t="shared" si="4"/>
        <v>0</v>
      </c>
      <c r="G7" s="407">
        <f t="shared" si="4"/>
        <v>0</v>
      </c>
      <c r="H7" s="407">
        <f t="shared" si="4"/>
        <v>0</v>
      </c>
      <c r="I7" s="407">
        <f t="shared" si="4"/>
        <v>0</v>
      </c>
      <c r="J7" s="407">
        <f t="shared" si="4"/>
        <v>0</v>
      </c>
      <c r="K7" s="407">
        <f t="shared" si="4"/>
        <v>0</v>
      </c>
      <c r="L7" s="407">
        <f t="shared" si="4"/>
        <v>-3.3000000000000002E-2</v>
      </c>
      <c r="M7" s="407">
        <f t="shared" si="4"/>
        <v>1.6E-2</v>
      </c>
      <c r="N7" s="407">
        <f t="shared" si="4"/>
        <v>0</v>
      </c>
      <c r="O7" s="407">
        <f t="shared" si="4"/>
        <v>-1.2E-2</v>
      </c>
      <c r="P7" s="407">
        <f t="shared" si="4"/>
        <v>-1.2999999999999999E-2</v>
      </c>
      <c r="Q7" s="407">
        <f t="shared" si="4"/>
        <v>-2.9000000000000001E-2</v>
      </c>
      <c r="R7" s="407">
        <f t="shared" si="4"/>
        <v>-1.6E-2</v>
      </c>
      <c r="S7" s="407">
        <f t="shared" si="4"/>
        <v>-3.2000000000000001E-2</v>
      </c>
      <c r="T7" s="407">
        <f t="shared" si="4"/>
        <v>-2.4E-2</v>
      </c>
      <c r="U7" s="407">
        <f t="shared" si="4"/>
        <v>-4.2000000000000003E-2</v>
      </c>
      <c r="V7" s="407">
        <f t="shared" si="4"/>
        <v>-3.1E-2</v>
      </c>
      <c r="W7" s="407">
        <f t="shared" si="4"/>
        <v>-1E-3</v>
      </c>
      <c r="X7" s="407">
        <f t="shared" si="4"/>
        <v>-3.6999999999999998E-2</v>
      </c>
      <c r="Y7" s="407">
        <f t="shared" si="4"/>
        <v>-5.1999999999999998E-2</v>
      </c>
      <c r="Z7" s="407">
        <f t="shared" si="4"/>
        <v>-3.9E-2</v>
      </c>
      <c r="AA7" s="407">
        <f t="shared" si="4"/>
        <v>-3.3000000000000002E-2</v>
      </c>
      <c r="AB7" s="407">
        <f t="shared" si="4"/>
        <v>-2.8000000000000001E-2</v>
      </c>
      <c r="AC7" s="407">
        <f t="shared" si="4"/>
        <v>-1.0999999999999999E-2</v>
      </c>
      <c r="AD7" s="407">
        <f t="shared" si="4"/>
        <v>-1.2999999999999999E-2</v>
      </c>
      <c r="AE7" s="407">
        <f t="shared" si="4"/>
        <v>-2.5999999999999999E-2</v>
      </c>
      <c r="AF7" s="407">
        <f t="shared" si="4"/>
        <v>-0.04</v>
      </c>
      <c r="AG7" s="407">
        <f t="shared" si="4"/>
        <v>-2.5399999999999999E-2</v>
      </c>
      <c r="AH7" s="407">
        <f t="shared" si="4"/>
        <v>-2.69E-2</v>
      </c>
      <c r="AI7" s="407">
        <f t="shared" si="4"/>
        <v>-0.02</v>
      </c>
      <c r="AJ7" s="407">
        <f t="shared" si="4"/>
        <v>-0.02</v>
      </c>
      <c r="AK7" s="407">
        <f t="shared" si="4"/>
        <v>-0.02</v>
      </c>
      <c r="AL7" s="407">
        <f t="shared" si="4"/>
        <v>-0.02</v>
      </c>
      <c r="AM7" s="407">
        <f t="shared" si="4"/>
        <v>-0.02</v>
      </c>
      <c r="AN7" s="407">
        <f t="shared" si="4"/>
        <v>-0.02</v>
      </c>
      <c r="AO7" s="407">
        <f t="shared" si="4"/>
        <v>-0.02</v>
      </c>
      <c r="AP7" s="407">
        <f t="shared" si="4"/>
        <v>-0.02</v>
      </c>
      <c r="AQ7" s="407">
        <f t="shared" si="4"/>
        <v>-0.02</v>
      </c>
      <c r="AR7" s="407">
        <f t="shared" si="4"/>
        <v>-0.02</v>
      </c>
      <c r="AS7" s="407">
        <f t="shared" si="4"/>
        <v>-0.02</v>
      </c>
      <c r="AT7" s="407">
        <f t="shared" si="4"/>
        <v>-0.02</v>
      </c>
      <c r="AU7" s="407">
        <f t="shared" si="4"/>
        <v>-0.02</v>
      </c>
      <c r="AV7" s="407">
        <f t="shared" si="4"/>
        <v>-0.02</v>
      </c>
      <c r="AW7" s="407">
        <f t="shared" si="4"/>
        <v>-0.02</v>
      </c>
      <c r="AX7" s="407">
        <f t="shared" si="4"/>
        <v>-0.02</v>
      </c>
      <c r="AY7" s="407">
        <f t="shared" si="4"/>
        <v>-0.02</v>
      </c>
      <c r="AZ7" s="407">
        <f t="shared" si="4"/>
        <v>-0.02</v>
      </c>
      <c r="BA7" s="407">
        <f t="shared" si="4"/>
        <v>-0.02</v>
      </c>
      <c r="BB7" s="407">
        <f t="shared" si="4"/>
        <v>-0.02</v>
      </c>
      <c r="BC7" s="407">
        <f t="shared" si="4"/>
        <v>-0.02</v>
      </c>
      <c r="BD7" s="407">
        <f t="shared" si="4"/>
        <v>-0.02</v>
      </c>
      <c r="BE7" s="407">
        <f t="shared" si="4"/>
        <v>-0.02</v>
      </c>
      <c r="BF7" s="407">
        <f t="shared" si="4"/>
        <v>-0.02</v>
      </c>
      <c r="BG7" s="407">
        <f t="shared" si="4"/>
        <v>-0.02</v>
      </c>
      <c r="BH7" s="407">
        <f t="shared" si="4"/>
        <v>-0.02</v>
      </c>
      <c r="BI7" s="407">
        <f t="shared" si="4"/>
        <v>-0.02</v>
      </c>
      <c r="BJ7" s="407">
        <f t="shared" si="4"/>
        <v>-0.02</v>
      </c>
      <c r="BK7" s="407">
        <f t="shared" si="4"/>
        <v>-0.02</v>
      </c>
      <c r="BL7" s="407">
        <f t="shared" si="4"/>
        <v>-0.02</v>
      </c>
      <c r="BM7" s="407">
        <f t="shared" si="4"/>
        <v>-0.02</v>
      </c>
      <c r="BN7" s="407">
        <f t="shared" si="4"/>
        <v>-0.02</v>
      </c>
      <c r="BO7" s="407">
        <f t="shared" si="4"/>
        <v>-0.02</v>
      </c>
      <c r="BP7" s="407">
        <f t="shared" ref="BP7:BV7" si="5">BP6-BP5</f>
        <v>-0.02</v>
      </c>
      <c r="BQ7" s="407">
        <f t="shared" si="5"/>
        <v>-0.02</v>
      </c>
      <c r="BR7" s="407">
        <f t="shared" si="5"/>
        <v>-0.02</v>
      </c>
      <c r="BS7" s="407">
        <f t="shared" si="5"/>
        <v>-0.02</v>
      </c>
      <c r="BT7" s="407">
        <f t="shared" si="5"/>
        <v>-0.02</v>
      </c>
      <c r="BU7" s="407">
        <f t="shared" si="5"/>
        <v>-0.02</v>
      </c>
      <c r="BV7" s="407">
        <f t="shared" si="5"/>
        <v>-0.02</v>
      </c>
    </row>
    <row r="8" spans="2:74" ht="19">
      <c r="B8" s="417" t="s">
        <v>211</v>
      </c>
      <c r="C8" s="407">
        <f>C7</f>
        <v>0</v>
      </c>
      <c r="D8" s="407">
        <f>C8+D7</f>
        <v>0</v>
      </c>
      <c r="E8" s="407">
        <f t="shared" ref="E8:BP8" si="6">D8+E7</f>
        <v>0</v>
      </c>
      <c r="F8" s="407">
        <f t="shared" si="6"/>
        <v>0</v>
      </c>
      <c r="G8" s="407">
        <f t="shared" si="6"/>
        <v>0</v>
      </c>
      <c r="H8" s="407">
        <f t="shared" si="6"/>
        <v>0</v>
      </c>
      <c r="I8" s="407">
        <f t="shared" si="6"/>
        <v>0</v>
      </c>
      <c r="J8" s="407">
        <f t="shared" si="6"/>
        <v>0</v>
      </c>
      <c r="K8" s="407">
        <f t="shared" si="6"/>
        <v>0</v>
      </c>
      <c r="L8" s="407">
        <f t="shared" si="6"/>
        <v>-3.3000000000000002E-2</v>
      </c>
      <c r="M8" s="407">
        <f t="shared" si="6"/>
        <v>-1.7000000000000001E-2</v>
      </c>
      <c r="N8" s="407">
        <f t="shared" si="6"/>
        <v>-1.7000000000000001E-2</v>
      </c>
      <c r="O8" s="407">
        <f t="shared" si="6"/>
        <v>-2.9000000000000001E-2</v>
      </c>
      <c r="P8" s="407">
        <f t="shared" si="6"/>
        <v>-4.2000000000000003E-2</v>
      </c>
      <c r="Q8" s="407">
        <f t="shared" si="6"/>
        <v>-7.1000000000000008E-2</v>
      </c>
      <c r="R8" s="407">
        <f t="shared" si="6"/>
        <v>-8.7000000000000008E-2</v>
      </c>
      <c r="S8" s="407">
        <f t="shared" si="6"/>
        <v>-0.11900000000000001</v>
      </c>
      <c r="T8" s="407">
        <f t="shared" si="6"/>
        <v>-0.14300000000000002</v>
      </c>
      <c r="U8" s="407">
        <f t="shared" si="6"/>
        <v>-0.18500000000000003</v>
      </c>
      <c r="V8" s="407">
        <f t="shared" si="6"/>
        <v>-0.21600000000000003</v>
      </c>
      <c r="W8" s="407">
        <f t="shared" si="6"/>
        <v>-0.21700000000000003</v>
      </c>
      <c r="X8" s="407">
        <f t="shared" si="6"/>
        <v>-0.254</v>
      </c>
      <c r="Y8" s="407">
        <f t="shared" si="6"/>
        <v>-0.30599999999999999</v>
      </c>
      <c r="Z8" s="407">
        <f t="shared" si="6"/>
        <v>-0.34499999999999997</v>
      </c>
      <c r="AA8" s="407">
        <f t="shared" si="6"/>
        <v>-0.378</v>
      </c>
      <c r="AB8" s="407">
        <f t="shared" si="6"/>
        <v>-0.40600000000000003</v>
      </c>
      <c r="AC8" s="407">
        <f t="shared" si="6"/>
        <v>-0.41700000000000004</v>
      </c>
      <c r="AD8" s="407">
        <f t="shared" si="6"/>
        <v>-0.43000000000000005</v>
      </c>
      <c r="AE8" s="407">
        <f t="shared" si="6"/>
        <v>-0.45600000000000007</v>
      </c>
      <c r="AF8" s="407">
        <f t="shared" si="6"/>
        <v>-0.49600000000000005</v>
      </c>
      <c r="AG8" s="407">
        <f t="shared" si="6"/>
        <v>-0.52140000000000009</v>
      </c>
      <c r="AH8" s="407">
        <f t="shared" si="6"/>
        <v>-0.54830000000000012</v>
      </c>
      <c r="AI8" s="407">
        <f t="shared" si="6"/>
        <v>-0.56830000000000014</v>
      </c>
      <c r="AJ8" s="407">
        <f t="shared" si="6"/>
        <v>-0.58830000000000016</v>
      </c>
      <c r="AK8" s="407">
        <f t="shared" si="6"/>
        <v>-0.60830000000000017</v>
      </c>
      <c r="AL8" s="407">
        <f t="shared" si="6"/>
        <v>-0.62830000000000019</v>
      </c>
      <c r="AM8" s="407">
        <f t="shared" si="6"/>
        <v>-0.64830000000000021</v>
      </c>
      <c r="AN8" s="407">
        <f t="shared" si="6"/>
        <v>-0.66830000000000023</v>
      </c>
      <c r="AO8" s="407">
        <f t="shared" si="6"/>
        <v>-0.68830000000000024</v>
      </c>
      <c r="AP8" s="407">
        <f t="shared" si="6"/>
        <v>-0.70830000000000026</v>
      </c>
      <c r="AQ8" s="407">
        <f t="shared" si="6"/>
        <v>-0.72830000000000028</v>
      </c>
      <c r="AR8" s="407">
        <f t="shared" si="6"/>
        <v>-0.7483000000000003</v>
      </c>
      <c r="AS8" s="407">
        <f t="shared" si="6"/>
        <v>-0.76830000000000032</v>
      </c>
      <c r="AT8" s="407">
        <f t="shared" si="6"/>
        <v>-0.78830000000000033</v>
      </c>
      <c r="AU8" s="407">
        <f t="shared" si="6"/>
        <v>-0.80830000000000035</v>
      </c>
      <c r="AV8" s="407">
        <f t="shared" si="6"/>
        <v>-0.82830000000000037</v>
      </c>
      <c r="AW8" s="407">
        <f t="shared" si="6"/>
        <v>-0.84830000000000039</v>
      </c>
      <c r="AX8" s="407">
        <f t="shared" si="6"/>
        <v>-0.8683000000000004</v>
      </c>
      <c r="AY8" s="407">
        <f t="shared" si="6"/>
        <v>-0.88830000000000042</v>
      </c>
      <c r="AZ8" s="407">
        <f t="shared" si="6"/>
        <v>-0.90830000000000044</v>
      </c>
      <c r="BA8" s="407">
        <f t="shared" si="6"/>
        <v>-0.92830000000000046</v>
      </c>
      <c r="BB8" s="407">
        <f t="shared" si="6"/>
        <v>-0.94830000000000048</v>
      </c>
      <c r="BC8" s="407">
        <f t="shared" si="6"/>
        <v>-0.96830000000000049</v>
      </c>
      <c r="BD8" s="407">
        <f t="shared" si="6"/>
        <v>-0.98830000000000051</v>
      </c>
      <c r="BE8" s="407">
        <f t="shared" si="6"/>
        <v>-1.0083000000000004</v>
      </c>
      <c r="BF8" s="407">
        <f t="shared" si="6"/>
        <v>-1.0283000000000004</v>
      </c>
      <c r="BG8" s="407">
        <f t="shared" si="6"/>
        <v>-1.0483000000000005</v>
      </c>
      <c r="BH8" s="407">
        <f t="shared" si="6"/>
        <v>-1.0683000000000005</v>
      </c>
      <c r="BI8" s="407">
        <f t="shared" si="6"/>
        <v>-1.0883000000000005</v>
      </c>
      <c r="BJ8" s="407">
        <f t="shared" si="6"/>
        <v>-1.1083000000000005</v>
      </c>
      <c r="BK8" s="407">
        <f t="shared" si="6"/>
        <v>-1.1283000000000005</v>
      </c>
      <c r="BL8" s="407">
        <f t="shared" si="6"/>
        <v>-1.1483000000000005</v>
      </c>
      <c r="BM8" s="407">
        <f t="shared" si="6"/>
        <v>-1.1683000000000006</v>
      </c>
      <c r="BN8" s="407">
        <f t="shared" si="6"/>
        <v>-1.1883000000000006</v>
      </c>
      <c r="BO8" s="407">
        <f t="shared" si="6"/>
        <v>-1.2083000000000006</v>
      </c>
      <c r="BP8" s="407">
        <f t="shared" si="6"/>
        <v>-1.2283000000000006</v>
      </c>
      <c r="BQ8" s="407">
        <f t="shared" ref="BQ8:BV8" si="7">BP8+BQ7</f>
        <v>-1.2483000000000006</v>
      </c>
      <c r="BR8" s="407">
        <f t="shared" si="7"/>
        <v>-1.2683000000000006</v>
      </c>
      <c r="BS8" s="407">
        <f t="shared" si="7"/>
        <v>-1.2883000000000007</v>
      </c>
      <c r="BT8" s="407">
        <f t="shared" si="7"/>
        <v>-1.3083000000000007</v>
      </c>
      <c r="BU8" s="407">
        <f t="shared" si="7"/>
        <v>-1.3283000000000007</v>
      </c>
      <c r="BV8" s="407">
        <f t="shared" si="7"/>
        <v>-1.3483000000000007</v>
      </c>
    </row>
    <row r="9" spans="2:74" ht="19">
      <c r="B9" s="417" t="s">
        <v>214</v>
      </c>
      <c r="C9" s="407">
        <f>C6-C5</f>
        <v>0</v>
      </c>
      <c r="D9" s="407">
        <f t="shared" ref="D9:L9" si="8">D6-D5</f>
        <v>0</v>
      </c>
      <c r="E9" s="407">
        <f t="shared" si="8"/>
        <v>0</v>
      </c>
      <c r="F9" s="407">
        <f t="shared" si="8"/>
        <v>0</v>
      </c>
      <c r="G9" s="407">
        <f t="shared" si="8"/>
        <v>0</v>
      </c>
      <c r="H9" s="407">
        <f t="shared" si="8"/>
        <v>0</v>
      </c>
      <c r="I9" s="407">
        <f t="shared" si="8"/>
        <v>0</v>
      </c>
      <c r="J9" s="407">
        <f t="shared" si="8"/>
        <v>0</v>
      </c>
      <c r="K9" s="407">
        <f t="shared" si="8"/>
        <v>0</v>
      </c>
      <c r="L9" s="407">
        <f t="shared" si="8"/>
        <v>-3.3000000000000002E-2</v>
      </c>
      <c r="M9" s="412"/>
      <c r="N9" s="412"/>
      <c r="O9" s="412"/>
      <c r="P9" s="412"/>
      <c r="Q9" s="411"/>
      <c r="R9" s="412"/>
      <c r="S9" s="411"/>
      <c r="T9" s="411"/>
      <c r="U9" s="411"/>
      <c r="V9" s="412"/>
      <c r="W9" s="411"/>
      <c r="X9" s="411"/>
      <c r="Y9" s="411"/>
      <c r="Z9" s="411"/>
      <c r="AA9" s="411"/>
      <c r="AB9" s="411"/>
      <c r="AC9" s="412"/>
      <c r="AD9" s="412"/>
      <c r="AE9" s="412"/>
      <c r="AF9" s="412"/>
      <c r="AG9" s="413"/>
      <c r="AH9" s="413"/>
      <c r="AI9" s="413"/>
      <c r="AJ9" s="413"/>
      <c r="AK9" s="413"/>
      <c r="AL9" s="413"/>
      <c r="AM9" s="413"/>
      <c r="AN9" s="413"/>
      <c r="AO9" s="413"/>
      <c r="AP9" s="413"/>
      <c r="AQ9" s="413"/>
      <c r="AR9" s="413"/>
      <c r="AS9" s="413"/>
      <c r="AT9" s="413"/>
      <c r="AU9" s="413"/>
      <c r="AV9" s="413"/>
      <c r="AW9" s="413"/>
      <c r="AX9" s="413"/>
      <c r="AY9" s="413"/>
      <c r="AZ9" s="413"/>
      <c r="BA9" s="413"/>
      <c r="BB9" s="413"/>
      <c r="BC9" s="413"/>
      <c r="BD9" s="413"/>
      <c r="BE9" s="413"/>
      <c r="BF9" s="413"/>
      <c r="BG9" s="413"/>
      <c r="BH9" s="413"/>
      <c r="BI9" s="413"/>
      <c r="BJ9" s="413"/>
      <c r="BK9" s="413"/>
      <c r="BL9" s="413"/>
      <c r="BM9" s="413"/>
      <c r="BN9" s="413"/>
      <c r="BO9" s="413"/>
      <c r="BP9" s="413"/>
      <c r="BQ9" s="413"/>
      <c r="BR9" s="413"/>
      <c r="BS9" s="413"/>
      <c r="BT9" s="413"/>
      <c r="BU9" s="413"/>
      <c r="BV9" s="413"/>
    </row>
    <row r="10" spans="2:74" ht="19">
      <c r="B10" s="417" t="s">
        <v>212</v>
      </c>
      <c r="C10" s="410"/>
      <c r="D10" s="410"/>
      <c r="E10" s="411"/>
      <c r="F10" s="411"/>
      <c r="G10" s="411"/>
      <c r="H10" s="411"/>
      <c r="I10" s="411"/>
      <c r="J10" s="411"/>
      <c r="K10" s="411"/>
      <c r="L10" s="411"/>
      <c r="M10" s="409">
        <f>M6-M5</f>
        <v>1.6E-2</v>
      </c>
      <c r="N10" s="409">
        <f>N6-N5</f>
        <v>0</v>
      </c>
      <c r="O10" s="409">
        <f>O6-O5</f>
        <v>-1.2E-2</v>
      </c>
      <c r="P10" s="409">
        <f>P6-P5</f>
        <v>-1.2999999999999999E-2</v>
      </c>
      <c r="Q10" s="411"/>
      <c r="R10" s="412"/>
      <c r="S10" s="411"/>
      <c r="T10" s="411"/>
      <c r="U10" s="411"/>
      <c r="V10" s="412"/>
      <c r="W10" s="411"/>
      <c r="X10" s="411"/>
      <c r="Y10" s="411"/>
      <c r="Z10" s="411"/>
      <c r="AA10" s="411"/>
      <c r="AB10" s="411"/>
      <c r="AC10" s="412"/>
      <c r="AD10" s="412"/>
      <c r="AE10" s="412"/>
      <c r="AF10" s="412"/>
      <c r="AG10" s="413"/>
      <c r="AH10" s="413"/>
      <c r="AI10" s="413"/>
      <c r="AJ10" s="413"/>
      <c r="AK10" s="413"/>
      <c r="AL10" s="413"/>
      <c r="AM10" s="413"/>
      <c r="AN10" s="413"/>
      <c r="AO10" s="413"/>
      <c r="AP10" s="413"/>
      <c r="AQ10" s="413"/>
      <c r="AR10" s="413"/>
      <c r="AS10" s="413"/>
      <c r="AT10" s="413"/>
      <c r="AU10" s="413"/>
      <c r="AV10" s="413"/>
      <c r="AW10" s="413"/>
      <c r="AX10" s="413"/>
      <c r="AY10" s="413"/>
      <c r="AZ10" s="413"/>
      <c r="BA10" s="413"/>
      <c r="BB10" s="413"/>
      <c r="BC10" s="413"/>
      <c r="BD10" s="413"/>
      <c r="BE10" s="413"/>
      <c r="BF10" s="413"/>
      <c r="BG10" s="413"/>
      <c r="BH10" s="413"/>
      <c r="BI10" s="413"/>
      <c r="BJ10" s="413"/>
      <c r="BK10" s="413"/>
      <c r="BL10" s="413"/>
      <c r="BM10" s="413"/>
      <c r="BN10" s="413"/>
      <c r="BO10" s="413"/>
      <c r="BP10" s="413"/>
      <c r="BQ10" s="413"/>
      <c r="BR10" s="413"/>
      <c r="BS10" s="413"/>
      <c r="BT10" s="413"/>
      <c r="BU10" s="413"/>
      <c r="BV10" s="413"/>
    </row>
    <row r="11" spans="2:74" ht="19">
      <c r="B11" s="417" t="s">
        <v>216</v>
      </c>
      <c r="C11" s="410"/>
      <c r="D11" s="410"/>
      <c r="E11" s="411"/>
      <c r="F11" s="411"/>
      <c r="G11" s="411"/>
      <c r="H11" s="411"/>
      <c r="I11" s="411"/>
      <c r="J11" s="411"/>
      <c r="K11" s="411"/>
      <c r="L11" s="411"/>
      <c r="M11" s="409"/>
      <c r="N11" s="409">
        <f>M10+N10</f>
        <v>1.6E-2</v>
      </c>
      <c r="O11" s="409">
        <f>N11+O10</f>
        <v>4.0000000000000001E-3</v>
      </c>
      <c r="P11" s="409">
        <f>O11+P10</f>
        <v>-8.9999999999999993E-3</v>
      </c>
      <c r="Q11" s="411"/>
      <c r="R11" s="412"/>
      <c r="S11" s="411"/>
      <c r="T11" s="411"/>
      <c r="U11" s="411"/>
      <c r="V11" s="412"/>
      <c r="W11" s="411"/>
      <c r="X11" s="411"/>
      <c r="Y11" s="411"/>
      <c r="Z11" s="411"/>
      <c r="AA11" s="411"/>
      <c r="AB11" s="411"/>
      <c r="AC11" s="412"/>
      <c r="AD11" s="412"/>
      <c r="AE11" s="412"/>
      <c r="AF11" s="412"/>
      <c r="AG11" s="413"/>
      <c r="AH11" s="413"/>
      <c r="AI11" s="413"/>
      <c r="AJ11" s="413"/>
      <c r="AK11" s="413"/>
      <c r="AL11" s="413"/>
      <c r="AM11" s="413"/>
      <c r="AN11" s="413"/>
      <c r="AO11" s="413"/>
      <c r="AP11" s="413"/>
      <c r="AQ11" s="413"/>
      <c r="AR11" s="413"/>
      <c r="AS11" s="413"/>
      <c r="AT11" s="413"/>
      <c r="AU11" s="413"/>
      <c r="AV11" s="413"/>
      <c r="AW11" s="413"/>
      <c r="AX11" s="413"/>
      <c r="AY11" s="413"/>
      <c r="AZ11" s="413"/>
      <c r="BA11" s="413"/>
      <c r="BB11" s="413"/>
      <c r="BC11" s="413"/>
      <c r="BD11" s="413"/>
      <c r="BE11" s="413"/>
      <c r="BF11" s="413"/>
      <c r="BG11" s="413"/>
      <c r="BH11" s="413"/>
      <c r="BI11" s="413"/>
      <c r="BJ11" s="413"/>
      <c r="BK11" s="413"/>
      <c r="BL11" s="413"/>
      <c r="BM11" s="413"/>
      <c r="BN11" s="413"/>
      <c r="BO11" s="413"/>
      <c r="BP11" s="413"/>
      <c r="BQ11" s="413"/>
      <c r="BR11" s="413"/>
      <c r="BS11" s="413"/>
      <c r="BT11" s="413"/>
      <c r="BU11" s="413"/>
      <c r="BV11" s="413"/>
    </row>
    <row r="12" spans="2:74" ht="19">
      <c r="B12" s="417" t="s">
        <v>213</v>
      </c>
      <c r="C12" s="410"/>
      <c r="D12" s="410"/>
      <c r="E12" s="411"/>
      <c r="F12" s="411"/>
      <c r="G12" s="411"/>
      <c r="H12" s="411"/>
      <c r="I12" s="411"/>
      <c r="J12" s="411"/>
      <c r="K12" s="411"/>
      <c r="L12" s="411"/>
      <c r="M12" s="412"/>
      <c r="N12" s="412"/>
      <c r="O12" s="412"/>
      <c r="P12" s="412"/>
      <c r="Q12" s="408">
        <f t="shared" ref="Q12:AH12" si="9">Q6-Q5</f>
        <v>-2.9000000000000001E-2</v>
      </c>
      <c r="R12" s="408">
        <f t="shared" si="9"/>
        <v>-1.6E-2</v>
      </c>
      <c r="S12" s="408">
        <f t="shared" si="9"/>
        <v>-3.2000000000000001E-2</v>
      </c>
      <c r="T12" s="408">
        <f t="shared" si="9"/>
        <v>-2.4E-2</v>
      </c>
      <c r="U12" s="408">
        <f t="shared" si="9"/>
        <v>-4.2000000000000003E-2</v>
      </c>
      <c r="V12" s="408">
        <f t="shared" si="9"/>
        <v>-3.1E-2</v>
      </c>
      <c r="W12" s="408">
        <f t="shared" si="9"/>
        <v>-1E-3</v>
      </c>
      <c r="X12" s="408">
        <f t="shared" si="9"/>
        <v>-3.6999999999999998E-2</v>
      </c>
      <c r="Y12" s="408">
        <f t="shared" si="9"/>
        <v>-5.1999999999999998E-2</v>
      </c>
      <c r="Z12" s="408">
        <f t="shared" si="9"/>
        <v>-3.9E-2</v>
      </c>
      <c r="AA12" s="408">
        <f t="shared" si="9"/>
        <v>-3.3000000000000002E-2</v>
      </c>
      <c r="AB12" s="408">
        <f t="shared" si="9"/>
        <v>-2.8000000000000001E-2</v>
      </c>
      <c r="AC12" s="408">
        <f t="shared" si="9"/>
        <v>-1.0999999999999999E-2</v>
      </c>
      <c r="AD12" s="408">
        <f t="shared" si="9"/>
        <v>-1.2999999999999999E-2</v>
      </c>
      <c r="AE12" s="408">
        <f t="shared" si="9"/>
        <v>-2.5999999999999999E-2</v>
      </c>
      <c r="AF12" s="408">
        <f t="shared" si="9"/>
        <v>-0.04</v>
      </c>
      <c r="AG12" s="408">
        <f t="shared" si="9"/>
        <v>-2.5399999999999999E-2</v>
      </c>
      <c r="AH12" s="408">
        <f t="shared" si="9"/>
        <v>-2.69E-2</v>
      </c>
      <c r="AI12" s="408">
        <f t="shared" ref="AI12:BQ12" si="10">AI6-AI5</f>
        <v>-0.02</v>
      </c>
      <c r="AJ12" s="408">
        <f t="shared" si="10"/>
        <v>-0.02</v>
      </c>
      <c r="AK12" s="408">
        <f t="shared" si="10"/>
        <v>-0.02</v>
      </c>
      <c r="AL12" s="408">
        <f t="shared" si="10"/>
        <v>-0.02</v>
      </c>
      <c r="AM12" s="408">
        <f t="shared" si="10"/>
        <v>-0.02</v>
      </c>
      <c r="AN12" s="408">
        <f t="shared" si="10"/>
        <v>-0.02</v>
      </c>
      <c r="AO12" s="408">
        <f t="shared" si="10"/>
        <v>-0.02</v>
      </c>
      <c r="AP12" s="408">
        <f t="shared" si="10"/>
        <v>-0.02</v>
      </c>
      <c r="AQ12" s="408">
        <f t="shared" si="10"/>
        <v>-0.02</v>
      </c>
      <c r="AR12" s="408">
        <f t="shared" si="10"/>
        <v>-0.02</v>
      </c>
      <c r="AS12" s="408">
        <f t="shared" si="10"/>
        <v>-0.02</v>
      </c>
      <c r="AT12" s="408">
        <f t="shared" si="10"/>
        <v>-0.02</v>
      </c>
      <c r="AU12" s="408">
        <f t="shared" si="10"/>
        <v>-0.02</v>
      </c>
      <c r="AV12" s="408">
        <f t="shared" si="10"/>
        <v>-0.02</v>
      </c>
      <c r="AW12" s="408">
        <f t="shared" si="10"/>
        <v>-0.02</v>
      </c>
      <c r="AX12" s="408">
        <f t="shared" si="10"/>
        <v>-0.02</v>
      </c>
      <c r="AY12" s="408">
        <f t="shared" si="10"/>
        <v>-0.02</v>
      </c>
      <c r="AZ12" s="408">
        <f t="shared" si="10"/>
        <v>-0.02</v>
      </c>
      <c r="BA12" s="408">
        <f t="shared" si="10"/>
        <v>-0.02</v>
      </c>
      <c r="BB12" s="408">
        <f t="shared" si="10"/>
        <v>-0.02</v>
      </c>
      <c r="BC12" s="408">
        <f t="shared" si="10"/>
        <v>-0.02</v>
      </c>
      <c r="BD12" s="408">
        <f t="shared" si="10"/>
        <v>-0.02</v>
      </c>
      <c r="BE12" s="408">
        <f t="shared" si="10"/>
        <v>-0.02</v>
      </c>
      <c r="BF12" s="408">
        <f t="shared" si="10"/>
        <v>-0.02</v>
      </c>
      <c r="BG12" s="408">
        <f t="shared" si="10"/>
        <v>-0.02</v>
      </c>
      <c r="BH12" s="408">
        <f t="shared" si="10"/>
        <v>-0.02</v>
      </c>
      <c r="BI12" s="408">
        <f t="shared" si="10"/>
        <v>-0.02</v>
      </c>
      <c r="BJ12" s="408">
        <f t="shared" si="10"/>
        <v>-0.02</v>
      </c>
      <c r="BK12" s="408">
        <f t="shared" si="10"/>
        <v>-0.02</v>
      </c>
      <c r="BL12" s="408">
        <f t="shared" si="10"/>
        <v>-0.02</v>
      </c>
      <c r="BM12" s="408">
        <f t="shared" si="10"/>
        <v>-0.02</v>
      </c>
      <c r="BN12" s="408">
        <f t="shared" si="10"/>
        <v>-0.02</v>
      </c>
      <c r="BO12" s="408">
        <f t="shared" si="10"/>
        <v>-0.02</v>
      </c>
      <c r="BP12" s="408">
        <f t="shared" si="10"/>
        <v>-0.02</v>
      </c>
      <c r="BQ12" s="408">
        <f t="shared" si="10"/>
        <v>-0.02</v>
      </c>
      <c r="BR12" s="408">
        <f>BR6-BR5</f>
        <v>-0.02</v>
      </c>
      <c r="BS12" s="408">
        <f>BS6-BS5</f>
        <v>-0.02</v>
      </c>
      <c r="BT12" s="408">
        <f>BT6-BT5</f>
        <v>-0.02</v>
      </c>
      <c r="BU12" s="408">
        <f>BU6-BU5</f>
        <v>-0.02</v>
      </c>
      <c r="BV12" s="408">
        <f>BV6-BV5</f>
        <v>-0.02</v>
      </c>
    </row>
    <row r="13" spans="2:74" ht="19">
      <c r="B13" s="417" t="s">
        <v>217</v>
      </c>
      <c r="C13" s="410"/>
      <c r="D13" s="410"/>
      <c r="E13" s="411"/>
      <c r="F13" s="411"/>
      <c r="G13" s="411"/>
      <c r="H13" s="411"/>
      <c r="I13" s="411"/>
      <c r="J13" s="411"/>
      <c r="K13" s="411"/>
      <c r="L13" s="411"/>
      <c r="M13" s="412"/>
      <c r="N13" s="412"/>
      <c r="O13" s="412"/>
      <c r="P13" s="412"/>
      <c r="Q13" s="408">
        <f>Q12</f>
        <v>-2.9000000000000001E-2</v>
      </c>
      <c r="R13" s="409">
        <f>Q13+R12</f>
        <v>-4.4999999999999998E-2</v>
      </c>
      <c r="S13" s="409">
        <f t="shared" ref="S13:AH13" si="11">R13+S12</f>
        <v>-7.6999999999999999E-2</v>
      </c>
      <c r="T13" s="409">
        <f t="shared" si="11"/>
        <v>-0.10100000000000001</v>
      </c>
      <c r="U13" s="409">
        <f t="shared" si="11"/>
        <v>-0.14300000000000002</v>
      </c>
      <c r="V13" s="409">
        <f t="shared" si="11"/>
        <v>-0.17400000000000002</v>
      </c>
      <c r="W13" s="409">
        <f t="shared" si="11"/>
        <v>-0.17500000000000002</v>
      </c>
      <c r="X13" s="409">
        <f t="shared" si="11"/>
        <v>-0.21200000000000002</v>
      </c>
      <c r="Y13" s="409">
        <f t="shared" si="11"/>
        <v>-0.26400000000000001</v>
      </c>
      <c r="Z13" s="409">
        <f t="shared" si="11"/>
        <v>-0.30299999999999999</v>
      </c>
      <c r="AA13" s="409">
        <f t="shared" si="11"/>
        <v>-0.33599999999999997</v>
      </c>
      <c r="AB13" s="409">
        <f t="shared" si="11"/>
        <v>-0.36399999999999999</v>
      </c>
      <c r="AC13" s="409">
        <f t="shared" si="11"/>
        <v>-0.375</v>
      </c>
      <c r="AD13" s="409">
        <f t="shared" si="11"/>
        <v>-0.38800000000000001</v>
      </c>
      <c r="AE13" s="409">
        <f t="shared" si="11"/>
        <v>-0.41400000000000003</v>
      </c>
      <c r="AF13" s="409">
        <f t="shared" si="11"/>
        <v>-0.45400000000000001</v>
      </c>
      <c r="AG13" s="409">
        <f t="shared" si="11"/>
        <v>-0.47939999999999999</v>
      </c>
      <c r="AH13" s="409">
        <f t="shared" si="11"/>
        <v>-0.50629999999999997</v>
      </c>
      <c r="AI13" s="409">
        <f t="shared" ref="AI13" si="12">AH13+AI12</f>
        <v>-0.52629999999999999</v>
      </c>
      <c r="AJ13" s="409">
        <f t="shared" ref="AJ13" si="13">AI13+AJ12</f>
        <v>-0.54630000000000001</v>
      </c>
      <c r="AK13" s="409">
        <f t="shared" ref="AK13" si="14">AJ13+AK12</f>
        <v>-0.56630000000000003</v>
      </c>
      <c r="AL13" s="409">
        <f t="shared" ref="AL13" si="15">AK13+AL12</f>
        <v>-0.58630000000000004</v>
      </c>
      <c r="AM13" s="409">
        <f t="shared" ref="AM13" si="16">AL13+AM12</f>
        <v>-0.60630000000000006</v>
      </c>
      <c r="AN13" s="409">
        <f t="shared" ref="AN13" si="17">AM13+AN12</f>
        <v>-0.62630000000000008</v>
      </c>
      <c r="AO13" s="409">
        <f t="shared" ref="AO13" si="18">AN13+AO12</f>
        <v>-0.6463000000000001</v>
      </c>
      <c r="AP13" s="409">
        <f t="shared" ref="AP13" si="19">AO13+AP12</f>
        <v>-0.66630000000000011</v>
      </c>
      <c r="AQ13" s="409">
        <f t="shared" ref="AQ13" si="20">AP13+AQ12</f>
        <v>-0.68630000000000013</v>
      </c>
      <c r="AR13" s="409">
        <f t="shared" ref="AR13" si="21">AQ13+AR12</f>
        <v>-0.70630000000000015</v>
      </c>
      <c r="AS13" s="409">
        <f t="shared" ref="AS13" si="22">AR13+AS12</f>
        <v>-0.72630000000000017</v>
      </c>
      <c r="AT13" s="409">
        <f t="shared" ref="AT13" si="23">AS13+AT12</f>
        <v>-0.74630000000000019</v>
      </c>
      <c r="AU13" s="409">
        <f t="shared" ref="AU13" si="24">AT13+AU12</f>
        <v>-0.7663000000000002</v>
      </c>
      <c r="AV13" s="409">
        <f t="shared" ref="AV13" si="25">AU13+AV12</f>
        <v>-0.78630000000000022</v>
      </c>
      <c r="AW13" s="409">
        <f t="shared" ref="AW13" si="26">AV13+AW12</f>
        <v>-0.80630000000000024</v>
      </c>
      <c r="AX13" s="409">
        <f t="shared" ref="AX13" si="27">AW13+AX12</f>
        <v>-0.82630000000000026</v>
      </c>
      <c r="AY13" s="409">
        <f t="shared" ref="AY13" si="28">AX13+AY12</f>
        <v>-0.84630000000000027</v>
      </c>
      <c r="AZ13" s="409">
        <f t="shared" ref="AZ13" si="29">AY13+AZ12</f>
        <v>-0.86630000000000029</v>
      </c>
      <c r="BA13" s="409">
        <f t="shared" ref="BA13" si="30">AZ13+BA12</f>
        <v>-0.88630000000000031</v>
      </c>
      <c r="BB13" s="409">
        <f t="shared" ref="BB13" si="31">BA13+BB12</f>
        <v>-0.90630000000000033</v>
      </c>
      <c r="BC13" s="409">
        <f t="shared" ref="BC13" si="32">BB13+BC12</f>
        <v>-0.92630000000000035</v>
      </c>
      <c r="BD13" s="409">
        <f t="shared" ref="BD13" si="33">BC13+BD12</f>
        <v>-0.94630000000000036</v>
      </c>
      <c r="BE13" s="409">
        <f t="shared" ref="BE13" si="34">BD13+BE12</f>
        <v>-0.96630000000000038</v>
      </c>
      <c r="BF13" s="409">
        <f t="shared" ref="BF13" si="35">BE13+BF12</f>
        <v>-0.9863000000000004</v>
      </c>
      <c r="BG13" s="409">
        <f t="shared" ref="BG13" si="36">BF13+BG12</f>
        <v>-1.0063000000000004</v>
      </c>
      <c r="BH13" s="409">
        <f t="shared" ref="BH13" si="37">BG13+BH12</f>
        <v>-1.0263000000000004</v>
      </c>
      <c r="BI13" s="409">
        <f t="shared" ref="BI13" si="38">BH13+BI12</f>
        <v>-1.0463000000000005</v>
      </c>
      <c r="BJ13" s="409">
        <f t="shared" ref="BJ13" si="39">BI13+BJ12</f>
        <v>-1.0663000000000005</v>
      </c>
      <c r="BK13" s="409">
        <f t="shared" ref="BK13" si="40">BJ13+BK12</f>
        <v>-1.0863000000000005</v>
      </c>
      <c r="BL13" s="409">
        <f t="shared" ref="BL13" si="41">BK13+BL12</f>
        <v>-1.1063000000000005</v>
      </c>
      <c r="BM13" s="409">
        <f t="shared" ref="BM13" si="42">BL13+BM12</f>
        <v>-1.1263000000000005</v>
      </c>
      <c r="BN13" s="409">
        <f t="shared" ref="BN13" si="43">BM13+BN12</f>
        <v>-1.1463000000000005</v>
      </c>
      <c r="BO13" s="409">
        <f t="shared" ref="BO13" si="44">BN13+BO12</f>
        <v>-1.1663000000000006</v>
      </c>
      <c r="BP13" s="409">
        <f t="shared" ref="BP13" si="45">BO13+BP12</f>
        <v>-1.1863000000000006</v>
      </c>
      <c r="BQ13" s="409">
        <f t="shared" ref="BQ13" si="46">BP13+BQ12</f>
        <v>-1.2063000000000006</v>
      </c>
      <c r="BR13" s="409">
        <f t="shared" ref="BR13" si="47">BQ13+BR12</f>
        <v>-1.2263000000000006</v>
      </c>
      <c r="BS13" s="409">
        <f t="shared" ref="BS13" si="48">BR13+BS12</f>
        <v>-1.2463000000000006</v>
      </c>
      <c r="BT13" s="409">
        <f t="shared" ref="BT13" si="49">BS13+BT12</f>
        <v>-1.2663000000000006</v>
      </c>
      <c r="BU13" s="409">
        <f t="shared" ref="BU13" si="50">BT13+BU12</f>
        <v>-1.2863000000000007</v>
      </c>
      <c r="BV13" s="409">
        <f t="shared" ref="BV13" si="51">BU13+BV12</f>
        <v>-1.3063000000000007</v>
      </c>
    </row>
    <row r="14" spans="2:74">
      <c r="B14" s="101"/>
      <c r="C14" s="410"/>
      <c r="D14" s="410"/>
      <c r="E14" s="411"/>
      <c r="F14" s="411"/>
      <c r="G14" s="411"/>
      <c r="H14" s="411"/>
      <c r="I14" s="411"/>
      <c r="J14" s="411"/>
      <c r="K14" s="411"/>
      <c r="L14" s="411"/>
      <c r="M14" s="412"/>
      <c r="N14" s="412"/>
      <c r="O14" s="412"/>
      <c r="P14" s="412"/>
      <c r="Q14" s="411"/>
      <c r="R14" s="412"/>
      <c r="S14" s="411"/>
      <c r="T14" s="411"/>
      <c r="U14" s="411"/>
      <c r="V14" s="412"/>
      <c r="W14" s="411"/>
      <c r="X14" s="411"/>
      <c r="Y14" s="411"/>
      <c r="Z14" s="411"/>
      <c r="AA14" s="411"/>
      <c r="AB14" s="411"/>
      <c r="AC14" s="412"/>
      <c r="AD14" s="412"/>
      <c r="AE14" s="412"/>
      <c r="AF14" s="412"/>
      <c r="AG14" s="413"/>
      <c r="AH14" s="413"/>
      <c r="AI14" s="413"/>
      <c r="AJ14" s="413"/>
      <c r="AK14" s="413"/>
      <c r="AL14" s="413"/>
      <c r="AM14" s="413"/>
      <c r="AN14" s="413"/>
      <c r="AO14" s="413"/>
      <c r="AP14" s="413"/>
      <c r="AQ14" s="413"/>
      <c r="AR14" s="413"/>
      <c r="AS14" s="413"/>
      <c r="AT14" s="413"/>
      <c r="AU14" s="413"/>
      <c r="AV14" s="413"/>
      <c r="AW14" s="413"/>
      <c r="AX14" s="413"/>
      <c r="AY14" s="413"/>
      <c r="AZ14" s="413"/>
      <c r="BA14" s="413"/>
      <c r="BB14" s="413"/>
      <c r="BC14" s="413"/>
      <c r="BD14" s="413"/>
      <c r="BE14" s="413"/>
      <c r="BF14" s="413"/>
      <c r="BG14" s="413"/>
      <c r="BH14" s="413"/>
      <c r="BI14" s="413"/>
      <c r="BJ14" s="413"/>
      <c r="BK14" s="413"/>
      <c r="BL14" s="413"/>
      <c r="BM14" s="413"/>
      <c r="BN14" s="413"/>
      <c r="BO14" s="413"/>
      <c r="BP14" s="413"/>
      <c r="BQ14" s="413"/>
      <c r="BR14" s="413"/>
      <c r="BS14" s="413"/>
      <c r="BT14" s="413"/>
      <c r="BU14" s="413"/>
      <c r="BV14" s="413"/>
    </row>
    <row r="15" spans="2:74">
      <c r="B15" s="101"/>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row>
    <row r="16" spans="2:74">
      <c r="B16" s="101"/>
      <c r="C16" s="410"/>
      <c r="D16" s="410"/>
      <c r="E16" s="411"/>
      <c r="F16" s="411"/>
      <c r="G16" s="411"/>
      <c r="H16" s="411"/>
      <c r="I16" s="411"/>
      <c r="J16" s="411"/>
      <c r="K16" s="411"/>
      <c r="L16" s="411"/>
      <c r="M16" s="412"/>
      <c r="N16" s="412"/>
      <c r="O16" s="412"/>
      <c r="P16" s="412"/>
      <c r="Q16" s="411"/>
      <c r="R16" s="412"/>
      <c r="S16" s="411"/>
      <c r="T16" s="411"/>
      <c r="U16" s="411"/>
      <c r="V16" s="412"/>
      <c r="W16" s="411"/>
      <c r="X16" s="411"/>
      <c r="Y16" s="411"/>
      <c r="Z16" s="411"/>
      <c r="AA16" s="411"/>
      <c r="AB16" s="411"/>
      <c r="AC16" s="412"/>
      <c r="AD16" s="412"/>
      <c r="AE16" s="412"/>
      <c r="AF16" s="412"/>
      <c r="AG16" s="413"/>
      <c r="AH16" s="413"/>
      <c r="AI16" s="413"/>
      <c r="AJ16" s="413"/>
      <c r="AK16" s="413"/>
      <c r="AL16" s="413"/>
      <c r="AM16" s="413"/>
      <c r="AN16" s="413"/>
      <c r="AO16" s="413"/>
      <c r="AP16" s="413"/>
      <c r="AQ16" s="413"/>
      <c r="AR16" s="413"/>
      <c r="AS16" s="413"/>
      <c r="AT16" s="413"/>
      <c r="AU16" s="413"/>
      <c r="AV16" s="413"/>
      <c r="AW16" s="413"/>
      <c r="AX16" s="413"/>
      <c r="AY16" s="413"/>
      <c r="AZ16" s="413"/>
      <c r="BA16" s="413"/>
      <c r="BB16" s="413"/>
      <c r="BC16" s="413"/>
      <c r="BD16" s="413"/>
      <c r="BE16" s="413"/>
      <c r="BF16" s="413"/>
      <c r="BG16" s="413"/>
      <c r="BH16" s="413"/>
      <c r="BI16" s="413"/>
      <c r="BJ16" s="413"/>
      <c r="BK16" s="413"/>
      <c r="BL16" s="413"/>
      <c r="BM16" s="413"/>
      <c r="BN16" s="413"/>
      <c r="BO16" s="413"/>
      <c r="BP16" s="413"/>
      <c r="BQ16" s="413"/>
      <c r="BR16" s="413"/>
      <c r="BS16" s="413"/>
      <c r="BT16" s="413"/>
      <c r="BU16" s="413"/>
      <c r="BV16" s="413"/>
    </row>
    <row r="17" spans="2:74">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row>
    <row r="72" spans="2:2" ht="24">
      <c r="B72" s="457" t="s">
        <v>255</v>
      </c>
    </row>
  </sheetData>
  <sheetProtection algorithmName="SHA-512" hashValue="ClDRKk/rMkKTDJi72goDPKNz/8CFx+h8sS8CZUH+TUTTzilty781vMHtH+5sGPXj7K8+AY2veW72TDboSZdH9g==" saltValue="sQ5GMpCpLSmOLlusRvmhKw==" spinCount="100000" sheet="1" objects="1" scenario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D8136-32B5-374F-A305-671E5958DA7C}">
  <dimension ref="F4:O14"/>
  <sheetViews>
    <sheetView zoomScale="80" zoomScaleNormal="80" workbookViewId="0">
      <selection activeCell="D4" sqref="D4"/>
    </sheetView>
  </sheetViews>
  <sheetFormatPr baseColWidth="10" defaultRowHeight="15"/>
  <cols>
    <col min="5" max="5" width="17" customWidth="1"/>
    <col min="6" max="6" width="14.83203125" customWidth="1"/>
    <col min="7" max="7" width="17.5" customWidth="1"/>
    <col min="8" max="8" width="17" customWidth="1"/>
    <col min="9" max="9" width="14.6640625" customWidth="1"/>
    <col min="10" max="10" width="14.33203125" customWidth="1"/>
    <col min="11" max="11" width="15.6640625" customWidth="1"/>
    <col min="12" max="12" width="12.33203125" customWidth="1"/>
  </cols>
  <sheetData>
    <row r="4" spans="6:15" ht="16" thickBot="1"/>
    <row r="5" spans="6:15" ht="117" customHeight="1" thickBot="1">
      <c r="F5" s="346" t="s">
        <v>28</v>
      </c>
      <c r="G5" s="347" t="s">
        <v>188</v>
      </c>
      <c r="H5" s="347" t="s">
        <v>189</v>
      </c>
      <c r="I5" s="347" t="s">
        <v>190</v>
      </c>
      <c r="J5" s="347" t="s">
        <v>191</v>
      </c>
      <c r="K5" s="347" t="s">
        <v>193</v>
      </c>
      <c r="L5" s="348" t="s">
        <v>187</v>
      </c>
    </row>
    <row r="6" spans="6:15" ht="19">
      <c r="F6" s="343">
        <v>1</v>
      </c>
      <c r="G6" s="344">
        <v>10000</v>
      </c>
      <c r="H6" s="344">
        <f>G6</f>
        <v>10000</v>
      </c>
      <c r="I6" s="344">
        <f>G6-H6</f>
        <v>0</v>
      </c>
      <c r="J6" s="344"/>
      <c r="K6" s="345">
        <f>I6</f>
        <v>0</v>
      </c>
      <c r="L6" s="68"/>
    </row>
    <row r="7" spans="6:15" ht="19">
      <c r="F7" s="334">
        <v>2</v>
      </c>
      <c r="G7" s="335">
        <f>G6+25</f>
        <v>10025</v>
      </c>
      <c r="H7" s="335">
        <f>H6+200</f>
        <v>10200</v>
      </c>
      <c r="I7" s="335">
        <f t="shared" ref="I7:I10" si="0">G7-H7</f>
        <v>-175</v>
      </c>
      <c r="J7" s="335">
        <f t="shared" ref="J7:J10" si="1">G7+I7</f>
        <v>9850</v>
      </c>
      <c r="K7" s="341">
        <f>K6+I7</f>
        <v>-175</v>
      </c>
      <c r="L7" s="18">
        <f>J7/G7</f>
        <v>0.98254364089775559</v>
      </c>
    </row>
    <row r="8" spans="6:15" ht="19">
      <c r="F8" s="334">
        <v>3</v>
      </c>
      <c r="G8" s="335">
        <f t="shared" ref="G8:G10" si="2">G7+25</f>
        <v>10050</v>
      </c>
      <c r="H8" s="335">
        <f>H7+300</f>
        <v>10500</v>
      </c>
      <c r="I8" s="335">
        <f t="shared" si="0"/>
        <v>-450</v>
      </c>
      <c r="J8" s="335">
        <f t="shared" si="1"/>
        <v>9600</v>
      </c>
      <c r="K8" s="341">
        <f t="shared" ref="K8:K10" si="3">K7+I8</f>
        <v>-625</v>
      </c>
      <c r="L8" s="18">
        <f t="shared" ref="L8:L10" si="4">J8/G8</f>
        <v>0.95522388059701491</v>
      </c>
    </row>
    <row r="9" spans="6:15" ht="19">
      <c r="F9" s="334">
        <v>4</v>
      </c>
      <c r="G9" s="335">
        <f t="shared" si="2"/>
        <v>10075</v>
      </c>
      <c r="H9" s="335">
        <f t="shared" ref="H9:H10" si="5">H8+200</f>
        <v>10700</v>
      </c>
      <c r="I9" s="335">
        <f t="shared" si="0"/>
        <v>-625</v>
      </c>
      <c r="J9" s="335">
        <f t="shared" si="1"/>
        <v>9450</v>
      </c>
      <c r="K9" s="341">
        <f t="shared" si="3"/>
        <v>-1250</v>
      </c>
      <c r="L9" s="18">
        <f t="shared" si="4"/>
        <v>0.93796526054590568</v>
      </c>
    </row>
    <row r="10" spans="6:15" ht="20" thickBot="1">
      <c r="F10" s="336">
        <v>5</v>
      </c>
      <c r="G10" s="337">
        <f t="shared" si="2"/>
        <v>10100</v>
      </c>
      <c r="H10" s="337">
        <f t="shared" si="5"/>
        <v>10900</v>
      </c>
      <c r="I10" s="338">
        <f t="shared" si="0"/>
        <v>-800</v>
      </c>
      <c r="J10" s="338">
        <f t="shared" si="1"/>
        <v>9300</v>
      </c>
      <c r="K10" s="342">
        <f t="shared" si="3"/>
        <v>-2050</v>
      </c>
      <c r="L10" s="18">
        <f t="shared" si="4"/>
        <v>0.92079207920792083</v>
      </c>
      <c r="M10" s="276"/>
      <c r="O10" s="20"/>
    </row>
    <row r="11" spans="6:15" ht="20" thickBot="1">
      <c r="F11" s="349" t="s">
        <v>186</v>
      </c>
      <c r="G11" s="350">
        <f>SUM(G6:G10)</f>
        <v>50250</v>
      </c>
      <c r="H11" s="351">
        <f>SUM(H6:H10)</f>
        <v>52300</v>
      </c>
      <c r="I11" s="339"/>
      <c r="J11" s="37"/>
    </row>
    <row r="12" spans="6:15" ht="41" thickBot="1">
      <c r="F12" s="340" t="s">
        <v>192</v>
      </c>
      <c r="G12" s="685">
        <f>G11-H11</f>
        <v>-2050</v>
      </c>
      <c r="H12" s="686"/>
    </row>
    <row r="14" spans="6:15">
      <c r="I14" s="295"/>
    </row>
  </sheetData>
  <sheetProtection algorithmName="SHA-512" hashValue="6FPyvCPIEpiIBwV8aLwv0acnA7YvII/MPDts5+q2NCoo50k587sWIk7W8H7XZElMt5aJKQnGS5Uh+DkQBuxuUQ==" saltValue="dmwdB+MiJb25Iov21J3ymA==" spinCount="100000" sheet="1" objects="1" scenarios="1"/>
  <mergeCells count="1">
    <mergeCell ref="G12:H12"/>
  </mergeCells>
  <conditionalFormatting sqref="G6:K10 G12:K12 G11:J11">
    <cfRule type="cellIs" dxfId="0" priority="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MASTER SUMMARY</vt:lpstr>
      <vt:lpstr>SUMMARY GRAPHS</vt:lpstr>
      <vt:lpstr>DETAILED MODELLER - PERSON 1</vt:lpstr>
      <vt:lpstr>TABLES-ACTUAL &amp; FUTURE RATES</vt:lpstr>
      <vt:lpstr>RPI &amp; Discretionary Comparison</vt:lpstr>
      <vt:lpstr>Buying Power example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David Carson</cp:lastModifiedBy>
  <cp:lastPrinted>2020-11-24T09:33:40Z</cp:lastPrinted>
  <dcterms:created xsi:type="dcterms:W3CDTF">2020-11-24T07:33:13Z</dcterms:created>
  <dcterms:modified xsi:type="dcterms:W3CDTF">2021-02-22T08:42:00Z</dcterms:modified>
  <cp:category/>
</cp:coreProperties>
</file>