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carsondave/Documents/HPPA/"/>
    </mc:Choice>
  </mc:AlternateContent>
  <xr:revisionPtr revIDLastSave="0" documentId="13_ncr:1_{2DADC84B-771F-004C-B759-C1789CB85EF5}" xr6:coauthVersionLast="36" xr6:coauthVersionMax="36" xr10:uidLastSave="{00000000-0000-0000-0000-000000000000}"/>
  <bookViews>
    <workbookView xWindow="4340" yWindow="640" windowWidth="29980" windowHeight="26260" activeTab="1" xr2:uid="{A0ABF5C2-4EF9-46AA-9363-7B0CADD07C84}"/>
  </bookViews>
  <sheets>
    <sheet name="THE RULES AND FORMULA" sheetId="21" r:id="rId1"/>
    <sheet name="UNDERSTANDING THE FORMULA" sheetId="20" r:id="rId2"/>
    <sheet name="MASTER SUMMARY" sheetId="6" r:id="rId3"/>
    <sheet name="SUMMARY GRAPHS" sheetId="14" r:id="rId4"/>
    <sheet name="DETAILED MODELLER - PERSON 1" sheetId="1" r:id="rId5"/>
    <sheet name="TABLES-ACTUAL &amp; FUTURE RATES" sheetId="5" r:id="rId6"/>
    <sheet name="Buying Power example" sheetId="15" r:id="rId7"/>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47" i="1" l="1"/>
  <c r="Z47" i="1"/>
  <c r="T47" i="1"/>
  <c r="G47" i="1"/>
  <c r="AR46" i="1"/>
  <c r="T46" i="1"/>
  <c r="G46" i="1"/>
  <c r="AR45" i="1"/>
  <c r="Z45" i="1"/>
  <c r="T45" i="1"/>
  <c r="G45" i="1"/>
  <c r="AR44" i="1"/>
  <c r="T44" i="1"/>
  <c r="G44" i="1"/>
  <c r="AR43" i="1"/>
  <c r="Z43" i="1"/>
  <c r="T43" i="1"/>
  <c r="G43" i="1"/>
  <c r="AR42" i="1"/>
  <c r="T42" i="1"/>
  <c r="G42" i="1"/>
  <c r="AR41" i="1"/>
  <c r="Z41" i="1"/>
  <c r="T41" i="1"/>
  <c r="G41" i="1"/>
  <c r="AR40" i="1"/>
  <c r="T40" i="1"/>
  <c r="G40" i="1"/>
  <c r="AR39" i="1"/>
  <c r="Z39" i="1"/>
  <c r="T39" i="1"/>
  <c r="G39" i="1"/>
  <c r="AR38" i="1"/>
  <c r="T38" i="1"/>
  <c r="G38" i="1"/>
  <c r="AR37" i="1"/>
  <c r="Z37" i="1"/>
  <c r="T37" i="1"/>
  <c r="G37" i="1"/>
  <c r="AR36" i="1"/>
  <c r="T36" i="1"/>
  <c r="G36" i="1"/>
  <c r="AR35" i="1"/>
  <c r="Z35" i="1"/>
  <c r="T35" i="1"/>
  <c r="G35" i="1"/>
  <c r="AR34" i="1"/>
  <c r="T34" i="1"/>
  <c r="G34" i="1"/>
  <c r="AR33" i="1"/>
  <c r="Z33" i="1"/>
  <c r="T33" i="1"/>
  <c r="G33" i="1"/>
  <c r="AR32" i="1"/>
  <c r="T32" i="1"/>
  <c r="G32" i="1"/>
  <c r="AR31" i="1"/>
  <c r="Z31" i="1"/>
  <c r="T31" i="1"/>
  <c r="G31" i="1"/>
  <c r="AR30" i="1"/>
  <c r="T30" i="1"/>
  <c r="G30" i="1"/>
  <c r="AR29" i="1"/>
  <c r="Z29" i="1"/>
  <c r="T29" i="1"/>
  <c r="G29" i="1"/>
  <c r="AR28" i="1"/>
  <c r="T28" i="1"/>
  <c r="G28" i="1"/>
  <c r="AR27" i="1"/>
  <c r="Z27" i="1"/>
  <c r="T27" i="1"/>
  <c r="G27" i="1"/>
  <c r="AR26" i="1"/>
  <c r="T26" i="1"/>
  <c r="G26" i="1"/>
  <c r="AR25" i="1"/>
  <c r="Z25" i="1"/>
  <c r="T25" i="1"/>
  <c r="G25" i="1"/>
  <c r="AR24" i="1"/>
  <c r="T24" i="1"/>
  <c r="G24" i="1"/>
  <c r="AR23" i="1"/>
  <c r="Z23" i="1"/>
  <c r="T23" i="1"/>
  <c r="G23" i="1"/>
  <c r="AR22" i="1"/>
  <c r="T22" i="1"/>
  <c r="G22" i="1"/>
  <c r="AS21" i="1"/>
  <c r="AR21" i="1"/>
  <c r="AL21" i="1"/>
  <c r="AF21" i="1"/>
  <c r="Z21" i="1"/>
  <c r="T21" i="1"/>
  <c r="G21" i="1"/>
  <c r="AS20" i="1"/>
  <c r="AR20" i="1"/>
  <c r="AL20" i="1"/>
  <c r="AF20" i="1"/>
  <c r="Z20" i="1"/>
  <c r="T20" i="1"/>
  <c r="G20" i="1"/>
  <c r="AR19" i="1"/>
  <c r="G19" i="1"/>
  <c r="AR18" i="1"/>
  <c r="G18" i="1"/>
  <c r="G17" i="1"/>
  <c r="B81" i="6"/>
  <c r="B79" i="6"/>
  <c r="B77" i="6"/>
  <c r="B75" i="6"/>
  <c r="B73" i="6"/>
  <c r="K71" i="6"/>
  <c r="J71" i="6"/>
  <c r="H71" i="6"/>
  <c r="G71" i="6"/>
  <c r="E71" i="6"/>
  <c r="D71" i="6"/>
  <c r="B71" i="6"/>
  <c r="K69" i="6"/>
  <c r="J69" i="6"/>
  <c r="H69" i="6"/>
  <c r="G69" i="6"/>
  <c r="E69" i="6"/>
  <c r="D69" i="6"/>
  <c r="B69" i="6"/>
  <c r="K9" i="5" l="1"/>
  <c r="M14" i="6" l="1"/>
  <c r="R17" i="5" l="1"/>
  <c r="R16" i="5"/>
  <c r="R15" i="5"/>
  <c r="R14" i="5"/>
  <c r="R13" i="5"/>
  <c r="R12" i="5"/>
  <c r="R11" i="5"/>
  <c r="R10" i="5"/>
  <c r="H14" i="6"/>
  <c r="R25" i="20"/>
  <c r="S25" i="20" s="1"/>
  <c r="O25" i="20" s="1"/>
  <c r="D32" i="20" s="1"/>
  <c r="Q25" i="20"/>
  <c r="M25" i="20"/>
  <c r="K25" i="20"/>
  <c r="J25" i="20"/>
  <c r="I25" i="20"/>
  <c r="H25" i="20"/>
  <c r="D13" i="20"/>
  <c r="D12" i="20"/>
  <c r="D14" i="20" s="1"/>
  <c r="D34" i="20" s="1"/>
  <c r="D8" i="20"/>
  <c r="M38" i="20" s="1"/>
  <c r="F5" i="5"/>
  <c r="S41" i="5"/>
  <c r="S40" i="5"/>
  <c r="S39" i="5"/>
  <c r="S38" i="5"/>
  <c r="S37" i="5"/>
  <c r="S36" i="5"/>
  <c r="S35" i="5"/>
  <c r="S34" i="5"/>
  <c r="S33" i="5"/>
  <c r="S32" i="5"/>
  <c r="S31" i="5"/>
  <c r="S30" i="5"/>
  <c r="S29" i="5"/>
  <c r="S28" i="5"/>
  <c r="S27" i="5"/>
  <c r="S26" i="5"/>
  <c r="S25" i="5"/>
  <c r="S24" i="5"/>
  <c r="S23" i="5"/>
  <c r="S22" i="5"/>
  <c r="S21" i="5"/>
  <c r="S20" i="5"/>
  <c r="S19" i="5"/>
  <c r="S18"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C10" i="5"/>
  <c r="E5" i="5"/>
  <c r="D5" i="5"/>
  <c r="C5" i="5"/>
  <c r="K5" i="5" s="1"/>
  <c r="L5" i="5" s="1"/>
  <c r="R5" i="5" s="1"/>
  <c r="M13" i="6"/>
  <c r="R38" i="20" l="1"/>
  <c r="R39" i="20" s="1"/>
  <c r="R40" i="20" s="1"/>
  <c r="K28" i="20"/>
  <c r="K35" i="20" s="1"/>
  <c r="M28" i="20"/>
  <c r="M35" i="20" s="1"/>
  <c r="M39" i="20" s="1"/>
  <c r="D35" i="20"/>
  <c r="N25" i="20"/>
  <c r="D30" i="20"/>
  <c r="D38" i="20" s="1"/>
  <c r="J5" i="5"/>
  <c r="M5" i="5"/>
  <c r="N5" i="5" s="1"/>
  <c r="L9" i="5" s="1"/>
  <c r="G5" i="5"/>
  <c r="P5" i="5"/>
  <c r="N9" i="5" s="1"/>
  <c r="H5" i="5"/>
  <c r="L10" i="5" l="1"/>
  <c r="L11" i="5" s="1"/>
  <c r="L12" i="5" s="1"/>
  <c r="L13" i="5" s="1"/>
  <c r="L14" i="5" s="1"/>
  <c r="L15" i="5" s="1"/>
  <c r="L16" i="5" s="1"/>
  <c r="L17" i="5" s="1"/>
  <c r="L18" i="5" s="1"/>
  <c r="L19" i="5" s="1"/>
  <c r="L20" i="5" s="1"/>
  <c r="L21" i="5" s="1"/>
  <c r="L22" i="5" s="1"/>
  <c r="L23" i="5" s="1"/>
  <c r="L24" i="5" s="1"/>
  <c r="L25" i="5" s="1"/>
  <c r="L26" i="5" s="1"/>
  <c r="L27" i="5" s="1"/>
  <c r="L28" i="5" s="1"/>
  <c r="L29" i="5" s="1"/>
  <c r="L30" i="5" s="1"/>
  <c r="L31" i="5" s="1"/>
  <c r="L32" i="5" s="1"/>
  <c r="L33" i="5" s="1"/>
  <c r="L34" i="5" s="1"/>
  <c r="L35" i="5" s="1"/>
  <c r="L36" i="5" s="1"/>
  <c r="L37" i="5" s="1"/>
  <c r="L38" i="5" s="1"/>
  <c r="L39" i="5" s="1"/>
  <c r="L40" i="5" s="1"/>
  <c r="L41" i="5" s="1"/>
  <c r="L42" i="5" s="1"/>
  <c r="L43" i="5" s="1"/>
  <c r="L44" i="5" s="1"/>
  <c r="L45" i="5" s="1"/>
  <c r="L46" i="5" s="1"/>
  <c r="L47" i="5" s="1"/>
  <c r="L48" i="5" s="1"/>
  <c r="L49" i="5" s="1"/>
  <c r="L50" i="5" s="1"/>
  <c r="L51" i="5" s="1"/>
  <c r="L52" i="5" s="1"/>
  <c r="L53" i="5" s="1"/>
  <c r="L54" i="5" s="1"/>
  <c r="L55" i="5" s="1"/>
  <c r="L56" i="5" s="1"/>
  <c r="L57" i="5" s="1"/>
  <c r="L58" i="5" s="1"/>
  <c r="L59" i="5" s="1"/>
  <c r="L60" i="5" s="1"/>
  <c r="L61" i="5" s="1"/>
  <c r="L62" i="5" s="1"/>
  <c r="L63" i="5" s="1"/>
  <c r="L64" i="5" s="1"/>
  <c r="L65" i="5" s="1"/>
  <c r="L66" i="5" s="1"/>
  <c r="L67" i="5" s="1"/>
  <c r="L68" i="5" s="1"/>
  <c r="L69" i="5" s="1"/>
  <c r="L70" i="5" s="1"/>
  <c r="L71" i="5" s="1"/>
  <c r="L72" i="5" s="1"/>
  <c r="L73" i="5" s="1"/>
  <c r="L74" i="5" s="1"/>
  <c r="L75" i="5" s="1"/>
  <c r="L76" i="5" s="1"/>
  <c r="L77" i="5" s="1"/>
  <c r="L78" i="5" s="1"/>
  <c r="L79" i="5" s="1"/>
  <c r="L80" i="5" s="1"/>
  <c r="L81" i="5" s="1"/>
  <c r="Q5" i="5"/>
  <c r="D39" i="20"/>
  <c r="D40" i="20" s="1"/>
  <c r="D36" i="20"/>
  <c r="D42" i="20" s="1"/>
  <c r="D31" i="20"/>
  <c r="N10" i="5"/>
  <c r="N11" i="5" s="1"/>
  <c r="N12" i="5" s="1"/>
  <c r="N13" i="5" s="1"/>
  <c r="N14" i="5" s="1"/>
  <c r="N15" i="5" s="1"/>
  <c r="N16" i="5" s="1"/>
  <c r="N17" i="5" s="1"/>
  <c r="N18" i="5" s="1"/>
  <c r="N19" i="5" s="1"/>
  <c r="N20" i="5" s="1"/>
  <c r="N21" i="5" s="1"/>
  <c r="N22" i="5" s="1"/>
  <c r="N23" i="5" s="1"/>
  <c r="N24" i="5" s="1"/>
  <c r="N25" i="5" s="1"/>
  <c r="N26" i="5" s="1"/>
  <c r="N27" i="5" s="1"/>
  <c r="N28" i="5" s="1"/>
  <c r="N29" i="5" s="1"/>
  <c r="N30" i="5" s="1"/>
  <c r="N31" i="5" s="1"/>
  <c r="N32" i="5" s="1"/>
  <c r="N33" i="5" s="1"/>
  <c r="N34" i="5" s="1"/>
  <c r="N35" i="5" s="1"/>
  <c r="N36" i="5" s="1"/>
  <c r="N37" i="5" s="1"/>
  <c r="N38" i="5" s="1"/>
  <c r="N39" i="5" s="1"/>
  <c r="N40" i="5" s="1"/>
  <c r="N41" i="5" s="1"/>
  <c r="N42" i="5" s="1"/>
  <c r="N43" i="5" s="1"/>
  <c r="N44" i="5" s="1"/>
  <c r="N45" i="5" s="1"/>
  <c r="N46" i="5" s="1"/>
  <c r="N47" i="5" s="1"/>
  <c r="N48" i="5" s="1"/>
  <c r="N49" i="5" s="1"/>
  <c r="N50" i="5" s="1"/>
  <c r="N51" i="5" s="1"/>
  <c r="N52" i="5" s="1"/>
  <c r="N53" i="5" s="1"/>
  <c r="N54" i="5" s="1"/>
  <c r="N55" i="5" s="1"/>
  <c r="N56" i="5" s="1"/>
  <c r="N57" i="5" s="1"/>
  <c r="N58" i="5" s="1"/>
  <c r="N59" i="5" s="1"/>
  <c r="N60" i="5" s="1"/>
  <c r="N61" i="5" s="1"/>
  <c r="N62" i="5" s="1"/>
  <c r="N63" i="5" s="1"/>
  <c r="N64" i="5" s="1"/>
  <c r="N65" i="5" s="1"/>
  <c r="N66" i="5" s="1"/>
  <c r="N67" i="5" s="1"/>
  <c r="N68" i="5" s="1"/>
  <c r="N69" i="5" s="1"/>
  <c r="N70" i="5" s="1"/>
  <c r="N71" i="5" s="1"/>
  <c r="N72" i="5" s="1"/>
  <c r="N73" i="5" s="1"/>
  <c r="N74" i="5" s="1"/>
  <c r="N75" i="5" s="1"/>
  <c r="N76" i="5" s="1"/>
  <c r="N77" i="5" s="1"/>
  <c r="N78" i="5" s="1"/>
  <c r="N79" i="5" s="1"/>
  <c r="N80" i="5" s="1"/>
  <c r="N81" i="5" s="1"/>
  <c r="M9" i="5" l="1"/>
  <c r="Q9" i="5" s="1"/>
  <c r="O9" i="5"/>
  <c r="P9" i="5" s="1"/>
  <c r="D44" i="20"/>
  <c r="K38" i="20"/>
  <c r="D46" i="20" s="1"/>
  <c r="M10" i="5" l="1"/>
  <c r="M11" i="5" s="1"/>
  <c r="M12" i="5" s="1"/>
  <c r="M13" i="5" s="1"/>
  <c r="M14" i="5" s="1"/>
  <c r="M15" i="5" s="1"/>
  <c r="M16" i="5" s="1"/>
  <c r="M17" i="5" s="1"/>
  <c r="M18" i="5" s="1"/>
  <c r="M19" i="5" s="1"/>
  <c r="M20" i="5" s="1"/>
  <c r="M21" i="5" s="1"/>
  <c r="M22" i="5" s="1"/>
  <c r="M23" i="5" s="1"/>
  <c r="M24" i="5" s="1"/>
  <c r="M25" i="5" s="1"/>
  <c r="M26" i="5" s="1"/>
  <c r="M27" i="5" s="1"/>
  <c r="M28" i="5" s="1"/>
  <c r="M29" i="5" s="1"/>
  <c r="M30" i="5" s="1"/>
  <c r="M31" i="5" s="1"/>
  <c r="M32" i="5" s="1"/>
  <c r="M33" i="5" s="1"/>
  <c r="M34" i="5" s="1"/>
  <c r="M35" i="5" s="1"/>
  <c r="M36" i="5" s="1"/>
  <c r="M37" i="5" s="1"/>
  <c r="M38" i="5" s="1"/>
  <c r="M39" i="5" s="1"/>
  <c r="M40" i="5" s="1"/>
  <c r="M41" i="5" s="1"/>
  <c r="M42" i="5" s="1"/>
  <c r="M43" i="5" s="1"/>
  <c r="M44" i="5" s="1"/>
  <c r="M45" i="5" s="1"/>
  <c r="M46" i="5" s="1"/>
  <c r="M47" i="5" s="1"/>
  <c r="M48" i="5" s="1"/>
  <c r="M49" i="5" s="1"/>
  <c r="M50" i="5" s="1"/>
  <c r="M51" i="5" s="1"/>
  <c r="M52" i="5" s="1"/>
  <c r="M53" i="5" s="1"/>
  <c r="M54" i="5" s="1"/>
  <c r="M55" i="5" s="1"/>
  <c r="M56" i="5" s="1"/>
  <c r="M57" i="5" s="1"/>
  <c r="M58" i="5" s="1"/>
  <c r="M59" i="5" s="1"/>
  <c r="M60" i="5" s="1"/>
  <c r="M61" i="5" s="1"/>
  <c r="M62" i="5" s="1"/>
  <c r="M63" i="5" s="1"/>
  <c r="M64" i="5" s="1"/>
  <c r="M65" i="5" s="1"/>
  <c r="M66" i="5" s="1"/>
  <c r="M67" i="5" s="1"/>
  <c r="M68" i="5" s="1"/>
  <c r="M69" i="5" s="1"/>
  <c r="M70" i="5" s="1"/>
  <c r="M71" i="5" s="1"/>
  <c r="M72" i="5" s="1"/>
  <c r="M73" i="5" s="1"/>
  <c r="M74" i="5" s="1"/>
  <c r="M75" i="5" s="1"/>
  <c r="M76" i="5" s="1"/>
  <c r="M77" i="5" s="1"/>
  <c r="M78" i="5" s="1"/>
  <c r="M79" i="5" s="1"/>
  <c r="M80" i="5" s="1"/>
  <c r="M81" i="5" s="1"/>
  <c r="O10" i="5"/>
  <c r="O11" i="5" s="1"/>
  <c r="O12" i="5" s="1"/>
  <c r="O13" i="5" s="1"/>
  <c r="O14" i="5" s="1"/>
  <c r="O15" i="5" s="1"/>
  <c r="O16" i="5" s="1"/>
  <c r="O17" i="5" s="1"/>
  <c r="O18" i="5" s="1"/>
  <c r="O19" i="5" s="1"/>
  <c r="O20" i="5" s="1"/>
  <c r="O21" i="5" s="1"/>
  <c r="O22" i="5" s="1"/>
  <c r="O23" i="5" s="1"/>
  <c r="O24" i="5" s="1"/>
  <c r="O25" i="5" s="1"/>
  <c r="O26" i="5" s="1"/>
  <c r="O27" i="5" s="1"/>
  <c r="O28" i="5" s="1"/>
  <c r="O29" i="5" s="1"/>
  <c r="O30" i="5" s="1"/>
  <c r="O31" i="5" s="1"/>
  <c r="O32" i="5" s="1"/>
  <c r="O33" i="5" s="1"/>
  <c r="O34" i="5" s="1"/>
  <c r="O35" i="5" s="1"/>
  <c r="O36" i="5" s="1"/>
  <c r="O37" i="5" s="1"/>
  <c r="O38" i="5" s="1"/>
  <c r="O39" i="5" s="1"/>
  <c r="O40" i="5" s="1"/>
  <c r="O41" i="5" s="1"/>
  <c r="O42" i="5" s="1"/>
  <c r="O43" i="5" s="1"/>
  <c r="O44" i="5" s="1"/>
  <c r="O45" i="5" s="1"/>
  <c r="O46" i="5" s="1"/>
  <c r="O47" i="5" s="1"/>
  <c r="O48" i="5" s="1"/>
  <c r="O49" i="5" s="1"/>
  <c r="O50" i="5" s="1"/>
  <c r="O51" i="5" s="1"/>
  <c r="O52" i="5" s="1"/>
  <c r="O53" i="5" s="1"/>
  <c r="O54" i="5" s="1"/>
  <c r="O55" i="5" s="1"/>
  <c r="O56" i="5" s="1"/>
  <c r="O57" i="5" s="1"/>
  <c r="O58" i="5" s="1"/>
  <c r="O59" i="5" s="1"/>
  <c r="O60" i="5" s="1"/>
  <c r="O61" i="5" s="1"/>
  <c r="O62" i="5" s="1"/>
  <c r="O63" i="5" s="1"/>
  <c r="O64" i="5" s="1"/>
  <c r="O65" i="5" s="1"/>
  <c r="O66" i="5" s="1"/>
  <c r="O67" i="5" s="1"/>
  <c r="O68" i="5" s="1"/>
  <c r="O69" i="5" s="1"/>
  <c r="O70" i="5" s="1"/>
  <c r="O71" i="5" s="1"/>
  <c r="O72" i="5" s="1"/>
  <c r="O73" i="5" s="1"/>
  <c r="O74" i="5" s="1"/>
  <c r="O75" i="5" s="1"/>
  <c r="O76" i="5" s="1"/>
  <c r="O77" i="5" s="1"/>
  <c r="O78" i="5" s="1"/>
  <c r="O79" i="5" s="1"/>
  <c r="O80" i="5" s="1"/>
  <c r="O81" i="5" s="1"/>
  <c r="Q10" i="5"/>
  <c r="K39" i="20"/>
  <c r="N39" i="20" s="1"/>
  <c r="P10" i="5"/>
  <c r="Q11" i="5" l="1"/>
  <c r="X10" i="5"/>
  <c r="O40" i="20"/>
  <c r="P11" i="5"/>
  <c r="X11" i="5" l="1"/>
  <c r="Q12" i="5"/>
  <c r="P12" i="5"/>
  <c r="N6" i="1"/>
  <c r="V6" i="1" s="1"/>
  <c r="X12" i="5" l="1"/>
  <c r="Q13" i="5"/>
  <c r="P13" i="5"/>
  <c r="M49" i="6"/>
  <c r="Q14" i="5" l="1"/>
  <c r="P14" i="5"/>
  <c r="X13" i="5"/>
  <c r="Q15" i="5" l="1"/>
  <c r="P15" i="5"/>
  <c r="X14" i="5"/>
  <c r="X15" i="5" l="1"/>
  <c r="Q16" i="5"/>
  <c r="P16" i="5"/>
  <c r="BV15" i="1"/>
  <c r="BW15" i="1" s="1"/>
  <c r="Q17" i="5" l="1"/>
  <c r="P17" i="5"/>
  <c r="X16" i="5"/>
  <c r="L10" i="15"/>
  <c r="L9" i="15"/>
  <c r="L8" i="15"/>
  <c r="L7" i="15"/>
  <c r="G12" i="15"/>
  <c r="G8" i="15"/>
  <c r="G9" i="15" s="1"/>
  <c r="G10" i="15" s="1"/>
  <c r="G7" i="15"/>
  <c r="H6" i="15"/>
  <c r="H7" i="15" s="1"/>
  <c r="Q18" i="5" l="1"/>
  <c r="P18" i="5"/>
  <c r="X17" i="5"/>
  <c r="I7" i="15"/>
  <c r="J7" i="15" s="1"/>
  <c r="H8" i="15"/>
  <c r="I6" i="15"/>
  <c r="G11" i="15"/>
  <c r="Q12" i="6"/>
  <c r="R18" i="5" l="1"/>
  <c r="X18" i="5" s="1"/>
  <c r="Q19" i="5"/>
  <c r="P19" i="5"/>
  <c r="I8" i="15"/>
  <c r="J8" i="15" s="1"/>
  <c r="H9" i="15"/>
  <c r="K6" i="15"/>
  <c r="K7" i="15" s="1"/>
  <c r="K8" i="15" s="1"/>
  <c r="C96" i="1"/>
  <c r="D96" i="1" s="1"/>
  <c r="E96" i="1" s="1"/>
  <c r="F96" i="1" s="1"/>
  <c r="G96" i="1" s="1"/>
  <c r="H96" i="1" s="1"/>
  <c r="I96" i="1" s="1"/>
  <c r="R19" i="5" l="1"/>
  <c r="X19" i="5" s="1"/>
  <c r="AC19" i="5" s="1"/>
  <c r="Q20" i="5"/>
  <c r="P20" i="5"/>
  <c r="H10" i="15"/>
  <c r="I10" i="15" s="1"/>
  <c r="J10" i="15" s="1"/>
  <c r="H11" i="15"/>
  <c r="I9" i="15"/>
  <c r="J9" i="15" s="1"/>
  <c r="K9" i="15"/>
  <c r="K10" i="15" s="1"/>
  <c r="AC18" i="5"/>
  <c r="AC17" i="5"/>
  <c r="AC16" i="5"/>
  <c r="AC15" i="5"/>
  <c r="AC14" i="5"/>
  <c r="AC13" i="5"/>
  <c r="AC12" i="5"/>
  <c r="AC11" i="5"/>
  <c r="AC10" i="5"/>
  <c r="R20" i="5" l="1"/>
  <c r="X20" i="5" s="1"/>
  <c r="AC20" i="5" s="1"/>
  <c r="Q21" i="5"/>
  <c r="P21" i="5"/>
  <c r="AZ10" i="1"/>
  <c r="BA10" i="1" s="1"/>
  <c r="BB10" i="1" s="1"/>
  <c r="BC10" i="1" s="1"/>
  <c r="BD10" i="1" s="1"/>
  <c r="BE10" i="1" s="1"/>
  <c r="BF10" i="1" s="1"/>
  <c r="BG10" i="1" s="1"/>
  <c r="BH10" i="1" s="1"/>
  <c r="BI10" i="1" s="1"/>
  <c r="BJ10" i="1" s="1"/>
  <c r="BK10" i="1" s="1"/>
  <c r="BL10" i="1" s="1"/>
  <c r="BM10" i="1" s="1"/>
  <c r="BN10" i="1" s="1"/>
  <c r="BO10" i="1" s="1"/>
  <c r="BP10" i="1" s="1"/>
  <c r="BQ10" i="1" s="1"/>
  <c r="BR10" i="1" s="1"/>
  <c r="BS10" i="1" s="1"/>
  <c r="E15" i="1"/>
  <c r="F15" i="1" s="1"/>
  <c r="G15" i="1" s="1"/>
  <c r="H15" i="1" s="1"/>
  <c r="I15" i="1" s="1"/>
  <c r="J15" i="1" s="1"/>
  <c r="K15" i="1" s="1"/>
  <c r="L15" i="1" s="1"/>
  <c r="M15" i="1" s="1"/>
  <c r="N15" i="1" s="1"/>
  <c r="O15" i="1" s="1"/>
  <c r="P15" i="1" s="1"/>
  <c r="Q15" i="1" s="1"/>
  <c r="R15" i="1" s="1"/>
  <c r="S15" i="1" s="1"/>
  <c r="T15" i="1" s="1"/>
  <c r="U15" i="1" s="1"/>
  <c r="V15" i="1" s="1"/>
  <c r="W15" i="1" s="1"/>
  <c r="X15" i="1" s="1"/>
  <c r="Y15" i="1" s="1"/>
  <c r="Z15" i="1" s="1"/>
  <c r="AA15" i="1" s="1"/>
  <c r="AB15" i="1" s="1"/>
  <c r="AC15" i="1" s="1"/>
  <c r="AD15" i="1" s="1"/>
  <c r="AE15" i="1" s="1"/>
  <c r="AF15" i="1" s="1"/>
  <c r="AG15" i="1" s="1"/>
  <c r="AH15" i="1" s="1"/>
  <c r="AI15" i="1" s="1"/>
  <c r="AJ15" i="1" s="1"/>
  <c r="AK15" i="1" s="1"/>
  <c r="AL15" i="1" s="1"/>
  <c r="AM15" i="1" s="1"/>
  <c r="AN15" i="1" s="1"/>
  <c r="AO15" i="1" s="1"/>
  <c r="AP15" i="1" s="1"/>
  <c r="AQ15" i="1" s="1"/>
  <c r="AR15" i="1" s="1"/>
  <c r="AS15" i="1" s="1"/>
  <c r="AT15" i="1" s="1"/>
  <c r="AU15" i="1" s="1"/>
  <c r="AV15" i="1" s="1"/>
  <c r="AW15" i="1" s="1"/>
  <c r="T17" i="6"/>
  <c r="B91" i="6"/>
  <c r="D91" i="6"/>
  <c r="F91" i="6"/>
  <c r="G91" i="6"/>
  <c r="H91" i="6"/>
  <c r="I91" i="6"/>
  <c r="K91" i="6" s="1"/>
  <c r="J91" i="6"/>
  <c r="AL10" i="5"/>
  <c r="AK10" i="5"/>
  <c r="AI10" i="5"/>
  <c r="AG10" i="5"/>
  <c r="AE10" i="5"/>
  <c r="R21" i="5" l="1"/>
  <c r="X21" i="5" s="1"/>
  <c r="AC21" i="5" s="1"/>
  <c r="Q22" i="5"/>
  <c r="P22" i="5"/>
  <c r="W42" i="5"/>
  <c r="R22" i="5" l="1"/>
  <c r="X22" i="5" s="1"/>
  <c r="AC22" i="5" s="1"/>
  <c r="Q23" i="5"/>
  <c r="C42" i="5"/>
  <c r="P23" i="5"/>
  <c r="W43" i="5"/>
  <c r="C43" i="5" s="1"/>
  <c r="R23" i="5" l="1"/>
  <c r="X23" i="5" s="1"/>
  <c r="AC23" i="5" s="1"/>
  <c r="Q24" i="5"/>
  <c r="E43" i="5"/>
  <c r="S43" i="5" s="1"/>
  <c r="G43" i="5"/>
  <c r="I43" i="5" s="1"/>
  <c r="K43" i="5" s="1"/>
  <c r="G42" i="5"/>
  <c r="I42" i="5" s="1"/>
  <c r="K42" i="5" s="1"/>
  <c r="E42" i="5"/>
  <c r="S42" i="5" s="1"/>
  <c r="P24" i="5"/>
  <c r="W44" i="5"/>
  <c r="C44" i="5" s="1"/>
  <c r="R24" i="5" l="1"/>
  <c r="X24" i="5" s="1"/>
  <c r="AC24" i="5" s="1"/>
  <c r="AE24" i="5" s="1"/>
  <c r="AG24" i="5" s="1"/>
  <c r="AI24" i="5" s="1"/>
  <c r="AK24" i="5" s="1"/>
  <c r="AM24" i="5" s="1"/>
  <c r="Q25" i="5"/>
  <c r="G44" i="5"/>
  <c r="I44" i="5" s="1"/>
  <c r="K44" i="5" s="1"/>
  <c r="E44" i="5"/>
  <c r="S44" i="5" s="1"/>
  <c r="P25" i="5"/>
  <c r="W45" i="5"/>
  <c r="C45" i="5" s="1"/>
  <c r="AE23" i="5"/>
  <c r="AG23" i="5" s="1"/>
  <c r="AI23" i="5" s="1"/>
  <c r="AK23" i="5" s="1"/>
  <c r="AM23" i="5" s="1"/>
  <c r="AE22" i="5"/>
  <c r="AG22" i="5" s="1"/>
  <c r="AI22" i="5" s="1"/>
  <c r="AK22" i="5" s="1"/>
  <c r="AM22" i="5" s="1"/>
  <c r="AE21" i="5"/>
  <c r="AG21" i="5" s="1"/>
  <c r="AI21" i="5" s="1"/>
  <c r="AK21" i="5" s="1"/>
  <c r="AM21" i="5" s="1"/>
  <c r="AE20" i="5"/>
  <c r="AG20" i="5" s="1"/>
  <c r="AI20" i="5" s="1"/>
  <c r="AK20" i="5" s="1"/>
  <c r="AM20" i="5" s="1"/>
  <c r="AE19" i="5"/>
  <c r="AG19" i="5" s="1"/>
  <c r="AI19" i="5" s="1"/>
  <c r="AK19" i="5" s="1"/>
  <c r="AM19" i="5" s="1"/>
  <c r="AE18" i="5"/>
  <c r="AG18" i="5" s="1"/>
  <c r="AI18" i="5" s="1"/>
  <c r="AK18" i="5" s="1"/>
  <c r="AM18" i="5" s="1"/>
  <c r="AE17" i="5"/>
  <c r="AG17" i="5" s="1"/>
  <c r="AI17" i="5" s="1"/>
  <c r="AK17" i="5" s="1"/>
  <c r="AM17" i="5" s="1"/>
  <c r="AE16" i="5"/>
  <c r="AG16" i="5" s="1"/>
  <c r="AI16" i="5" s="1"/>
  <c r="AK16" i="5" s="1"/>
  <c r="AM16" i="5" s="1"/>
  <c r="AE15" i="5"/>
  <c r="AG15" i="5" s="1"/>
  <c r="AI15" i="5" s="1"/>
  <c r="AK15" i="5" s="1"/>
  <c r="AM15" i="5" s="1"/>
  <c r="AE14" i="5"/>
  <c r="AG14" i="5" s="1"/>
  <c r="AI14" i="5" s="1"/>
  <c r="AK14" i="5" s="1"/>
  <c r="AM14" i="5" s="1"/>
  <c r="AE13" i="5"/>
  <c r="AG13" i="5" s="1"/>
  <c r="AI13" i="5" s="1"/>
  <c r="AK13" i="5" s="1"/>
  <c r="AM13" i="5" s="1"/>
  <c r="AE12" i="5"/>
  <c r="AG12" i="5" s="1"/>
  <c r="AI12" i="5" s="1"/>
  <c r="AK12" i="5" s="1"/>
  <c r="AM12" i="5" s="1"/>
  <c r="AE11" i="5"/>
  <c r="AG11" i="5" s="1"/>
  <c r="AI11" i="5" s="1"/>
  <c r="AK11" i="5" s="1"/>
  <c r="AM11" i="5" s="1"/>
  <c r="AX10" i="5"/>
  <c r="BC10" i="5" s="1"/>
  <c r="BA10" i="5"/>
  <c r="BA11" i="5" s="1"/>
  <c r="BA12" i="5" s="1"/>
  <c r="BA13" i="5" s="1"/>
  <c r="BA14" i="5" s="1"/>
  <c r="BA15" i="5" s="1"/>
  <c r="BA16" i="5" s="1"/>
  <c r="BA17" i="5" s="1"/>
  <c r="BA18" i="5" s="1"/>
  <c r="BA19" i="5" s="1"/>
  <c r="BA20" i="5" s="1"/>
  <c r="BA21" i="5" s="1"/>
  <c r="BA22" i="5" s="1"/>
  <c r="BA23" i="5" s="1"/>
  <c r="BA24" i="5" s="1"/>
  <c r="BA25" i="5" s="1"/>
  <c r="BA26" i="5" s="1"/>
  <c r="BA27" i="5" s="1"/>
  <c r="BA28" i="5" s="1"/>
  <c r="BA29" i="5" s="1"/>
  <c r="BA30" i="5" s="1"/>
  <c r="BA31" i="5" s="1"/>
  <c r="BA32" i="5" s="1"/>
  <c r="BA33" i="5" s="1"/>
  <c r="BA34" i="5" s="1"/>
  <c r="R25" i="5" l="1"/>
  <c r="X25" i="5" s="1"/>
  <c r="AC25" i="5" s="1"/>
  <c r="AE25" i="5" s="1"/>
  <c r="AG25" i="5" s="1"/>
  <c r="AI25" i="5" s="1"/>
  <c r="AK25" i="5" s="1"/>
  <c r="AM25" i="5" s="1"/>
  <c r="Q26" i="5"/>
  <c r="G45" i="5"/>
  <c r="I45" i="5" s="1"/>
  <c r="K45" i="5" s="1"/>
  <c r="E45" i="5"/>
  <c r="S45" i="5" s="1"/>
  <c r="P26" i="5"/>
  <c r="AX11" i="5"/>
  <c r="W46" i="5"/>
  <c r="C46" i="5" s="1"/>
  <c r="BC11" i="5"/>
  <c r="BA35" i="5"/>
  <c r="BA36" i="5"/>
  <c r="AX12" i="5"/>
  <c r="R26" i="5" l="1"/>
  <c r="X26" i="5" s="1"/>
  <c r="AC26" i="5" s="1"/>
  <c r="AE26" i="5" s="1"/>
  <c r="AG26" i="5" s="1"/>
  <c r="AI26" i="5" s="1"/>
  <c r="AK26" i="5" s="1"/>
  <c r="AM26" i="5" s="1"/>
  <c r="Q27" i="5"/>
  <c r="G46" i="5"/>
  <c r="I46" i="5" s="1"/>
  <c r="K46" i="5" s="1"/>
  <c r="E46" i="5"/>
  <c r="S46" i="5" s="1"/>
  <c r="P27" i="5"/>
  <c r="W47" i="5"/>
  <c r="C47" i="5" s="1"/>
  <c r="BC12" i="5"/>
  <c r="AX13" i="5"/>
  <c r="BA38" i="5"/>
  <c r="BA39" i="5" s="1"/>
  <c r="BA37" i="5"/>
  <c r="D52" i="1"/>
  <c r="D51" i="1"/>
  <c r="R27" i="5" l="1"/>
  <c r="X27" i="5" s="1"/>
  <c r="AC27" i="5" s="1"/>
  <c r="AE27" i="5" s="1"/>
  <c r="AG27" i="5" s="1"/>
  <c r="AI27" i="5" s="1"/>
  <c r="AK27" i="5" s="1"/>
  <c r="AM27" i="5" s="1"/>
  <c r="Q28" i="5"/>
  <c r="G47" i="5"/>
  <c r="I47" i="5" s="1"/>
  <c r="K47" i="5" s="1"/>
  <c r="E47" i="5"/>
  <c r="S47" i="5" s="1"/>
  <c r="P28" i="5"/>
  <c r="W48" i="5"/>
  <c r="C48" i="5" s="1"/>
  <c r="AX14" i="5"/>
  <c r="BC13" i="5"/>
  <c r="D53" i="1"/>
  <c r="F17" i="1"/>
  <c r="C17" i="1"/>
  <c r="D17" i="1"/>
  <c r="R28" i="5" l="1"/>
  <c r="X28" i="5" s="1"/>
  <c r="AC28" i="5" s="1"/>
  <c r="AE28" i="5" s="1"/>
  <c r="AG28" i="5" s="1"/>
  <c r="AI28" i="5" s="1"/>
  <c r="AK28" i="5" s="1"/>
  <c r="AM28" i="5" s="1"/>
  <c r="Q29" i="5"/>
  <c r="G48" i="5"/>
  <c r="I48" i="5" s="1"/>
  <c r="K48" i="5" s="1"/>
  <c r="E48" i="5"/>
  <c r="S48" i="5" s="1"/>
  <c r="P29" i="5"/>
  <c r="F18" i="1"/>
  <c r="W49" i="5"/>
  <c r="C49" i="5" s="1"/>
  <c r="Q13" i="6"/>
  <c r="Q11" i="6"/>
  <c r="AH17" i="1"/>
  <c r="AU17" i="1"/>
  <c r="AB17" i="1"/>
  <c r="V17" i="1"/>
  <c r="O17" i="1"/>
  <c r="E132" i="1" s="1"/>
  <c r="AN17" i="1"/>
  <c r="AX15" i="5"/>
  <c r="BC14" i="5"/>
  <c r="F51" i="1"/>
  <c r="AN76" i="5"/>
  <c r="AN77" i="5" s="1"/>
  <c r="AN78" i="5" s="1"/>
  <c r="AN79" i="5" s="1"/>
  <c r="AN80" i="5" s="1"/>
  <c r="AN81" i="5" s="1"/>
  <c r="AN68" i="5"/>
  <c r="AN69" i="5" s="1"/>
  <c r="AN70" i="5" s="1"/>
  <c r="AN71" i="5" s="1"/>
  <c r="AN72" i="5" s="1"/>
  <c r="AN73" i="5" s="1"/>
  <c r="AN74" i="5" s="1"/>
  <c r="AN58" i="5"/>
  <c r="AN59" i="5" s="1"/>
  <c r="AN60" i="5" s="1"/>
  <c r="AN61" i="5" s="1"/>
  <c r="AN62" i="5" s="1"/>
  <c r="AN63" i="5" s="1"/>
  <c r="AN64" i="5" s="1"/>
  <c r="AN65" i="5" s="1"/>
  <c r="AN66" i="5" s="1"/>
  <c r="AN52" i="5"/>
  <c r="AN54" i="5" s="1"/>
  <c r="AN55" i="5" s="1"/>
  <c r="AN56" i="5" s="1"/>
  <c r="AJ42" i="5"/>
  <c r="AJ43" i="5" s="1"/>
  <c r="AJ44" i="5" s="1"/>
  <c r="AJ45" i="5" s="1"/>
  <c r="AJ46" i="5" s="1"/>
  <c r="AJ47" i="5" s="1"/>
  <c r="AJ48" i="5" s="1"/>
  <c r="AJ49" i="5" s="1"/>
  <c r="AJ50" i="5" s="1"/>
  <c r="AJ51" i="5" s="1"/>
  <c r="AJ52" i="5" s="1"/>
  <c r="AJ53" i="5" s="1"/>
  <c r="AJ54" i="5" s="1"/>
  <c r="AJ55" i="5" s="1"/>
  <c r="AJ56" i="5" s="1"/>
  <c r="AJ57" i="5" s="1"/>
  <c r="AJ58" i="5" s="1"/>
  <c r="AJ59" i="5" s="1"/>
  <c r="AJ60" i="5" s="1"/>
  <c r="AJ61" i="5" s="1"/>
  <c r="AJ62" i="5" s="1"/>
  <c r="AJ63" i="5" s="1"/>
  <c r="AJ64" i="5" s="1"/>
  <c r="AJ65" i="5" s="1"/>
  <c r="AJ66" i="5" s="1"/>
  <c r="AJ67" i="5" s="1"/>
  <c r="AJ68" i="5" s="1"/>
  <c r="AJ69" i="5" s="1"/>
  <c r="AJ70" i="5" s="1"/>
  <c r="AJ71" i="5" s="1"/>
  <c r="AJ72" i="5" s="1"/>
  <c r="AJ73" i="5" s="1"/>
  <c r="AJ74" i="5" s="1"/>
  <c r="AJ75" i="5" s="1"/>
  <c r="AJ76" i="5" s="1"/>
  <c r="AJ77" i="5" s="1"/>
  <c r="AJ78" i="5" s="1"/>
  <c r="AJ79" i="5" s="1"/>
  <c r="AJ80" i="5" s="1"/>
  <c r="AJ81" i="5" s="1"/>
  <c r="AH42" i="5"/>
  <c r="AH43" i="5" s="1"/>
  <c r="AH44" i="5" s="1"/>
  <c r="AH45" i="5" s="1"/>
  <c r="AH46" i="5" s="1"/>
  <c r="AH47" i="5" s="1"/>
  <c r="AH48" i="5" s="1"/>
  <c r="AH49" i="5" s="1"/>
  <c r="AH50" i="5" s="1"/>
  <c r="AH51" i="5" s="1"/>
  <c r="AH52" i="5" s="1"/>
  <c r="AH53" i="5" s="1"/>
  <c r="AH54" i="5" s="1"/>
  <c r="AH55" i="5" s="1"/>
  <c r="AH56" i="5" s="1"/>
  <c r="AH57" i="5" s="1"/>
  <c r="AH58" i="5" s="1"/>
  <c r="AH59" i="5" s="1"/>
  <c r="AH60" i="5" s="1"/>
  <c r="AH61" i="5" s="1"/>
  <c r="AH62" i="5" s="1"/>
  <c r="AH63" i="5" s="1"/>
  <c r="AH64" i="5" s="1"/>
  <c r="AH65" i="5" s="1"/>
  <c r="AH66" i="5" s="1"/>
  <c r="AH67" i="5" s="1"/>
  <c r="AH68" i="5" s="1"/>
  <c r="AH69" i="5" s="1"/>
  <c r="AH70" i="5" s="1"/>
  <c r="AH71" i="5" s="1"/>
  <c r="AH72" i="5" s="1"/>
  <c r="AH73" i="5" s="1"/>
  <c r="AH74" i="5" s="1"/>
  <c r="AH75" i="5" s="1"/>
  <c r="AH76" i="5" s="1"/>
  <c r="AH77" i="5" s="1"/>
  <c r="AH78" i="5" s="1"/>
  <c r="AH79" i="5" s="1"/>
  <c r="AH80" i="5" s="1"/>
  <c r="AH81" i="5" s="1"/>
  <c r="V42" i="5"/>
  <c r="V43" i="5" s="1"/>
  <c r="V44" i="5" s="1"/>
  <c r="V45" i="5" s="1"/>
  <c r="V46" i="5" s="1"/>
  <c r="V47" i="5" s="1"/>
  <c r="V48" i="5" s="1"/>
  <c r="V49" i="5" s="1"/>
  <c r="V50" i="5" s="1"/>
  <c r="V51" i="5" s="1"/>
  <c r="V52" i="5" s="1"/>
  <c r="V53" i="5" s="1"/>
  <c r="V54" i="5" s="1"/>
  <c r="V55" i="5" s="1"/>
  <c r="V56" i="5" s="1"/>
  <c r="V57" i="5" s="1"/>
  <c r="V58" i="5" s="1"/>
  <c r="V59" i="5" s="1"/>
  <c r="V60" i="5" s="1"/>
  <c r="V61" i="5" s="1"/>
  <c r="V62" i="5" s="1"/>
  <c r="V63" i="5" s="1"/>
  <c r="V64" i="5" s="1"/>
  <c r="V65" i="5" s="1"/>
  <c r="V66" i="5" s="1"/>
  <c r="V67" i="5" s="1"/>
  <c r="V68" i="5" s="1"/>
  <c r="V69" i="5" s="1"/>
  <c r="V70" i="5" s="1"/>
  <c r="V71" i="5" s="1"/>
  <c r="V72" i="5" s="1"/>
  <c r="V73" i="5" s="1"/>
  <c r="V74" i="5" s="1"/>
  <c r="V75" i="5" s="1"/>
  <c r="V76" i="5" s="1"/>
  <c r="V77" i="5" s="1"/>
  <c r="V78" i="5" s="1"/>
  <c r="V79" i="5" s="1"/>
  <c r="V80" i="5" s="1"/>
  <c r="V81" i="5" s="1"/>
  <c r="AF42" i="5"/>
  <c r="AF43" i="5" s="1"/>
  <c r="AF44" i="5" s="1"/>
  <c r="AF45" i="5" s="1"/>
  <c r="AF46" i="5" s="1"/>
  <c r="AF47" i="5" s="1"/>
  <c r="AF48" i="5" s="1"/>
  <c r="AF49" i="5" s="1"/>
  <c r="AF50" i="5" s="1"/>
  <c r="AF51" i="5" s="1"/>
  <c r="AF52" i="5" s="1"/>
  <c r="AF53" i="5" s="1"/>
  <c r="AF54" i="5" s="1"/>
  <c r="AF55" i="5" s="1"/>
  <c r="AF56" i="5" s="1"/>
  <c r="AF57" i="5" s="1"/>
  <c r="AF58" i="5" s="1"/>
  <c r="AF59" i="5" s="1"/>
  <c r="AF60" i="5" s="1"/>
  <c r="AF61" i="5" s="1"/>
  <c r="AF62" i="5" s="1"/>
  <c r="AF63" i="5" s="1"/>
  <c r="AF64" i="5" s="1"/>
  <c r="AF65" i="5" s="1"/>
  <c r="AF66" i="5" s="1"/>
  <c r="AF67" i="5" s="1"/>
  <c r="AF68" i="5" s="1"/>
  <c r="AF69" i="5" s="1"/>
  <c r="AF70" i="5" s="1"/>
  <c r="AF71" i="5" s="1"/>
  <c r="AF72" i="5" s="1"/>
  <c r="AF73" i="5" s="1"/>
  <c r="AF74" i="5" s="1"/>
  <c r="AF75" i="5" s="1"/>
  <c r="AF76" i="5" s="1"/>
  <c r="AF77" i="5" s="1"/>
  <c r="AF78" i="5" s="1"/>
  <c r="AF79" i="5" s="1"/>
  <c r="AF80" i="5" s="1"/>
  <c r="AF81" i="5" s="1"/>
  <c r="AD42" i="5"/>
  <c r="AD43" i="5" s="1"/>
  <c r="AD44" i="5" s="1"/>
  <c r="AD45" i="5" s="1"/>
  <c r="AD46" i="5" s="1"/>
  <c r="AD47" i="5" s="1"/>
  <c r="AD48" i="5" s="1"/>
  <c r="AD49" i="5" s="1"/>
  <c r="AD50" i="5" s="1"/>
  <c r="AD51" i="5" s="1"/>
  <c r="AD52" i="5" s="1"/>
  <c r="AD53" i="5" s="1"/>
  <c r="AD54" i="5" s="1"/>
  <c r="AD55" i="5" s="1"/>
  <c r="AD56" i="5" s="1"/>
  <c r="AD57" i="5" s="1"/>
  <c r="AD58" i="5" s="1"/>
  <c r="AD59" i="5" s="1"/>
  <c r="AD60" i="5" s="1"/>
  <c r="AD61" i="5" s="1"/>
  <c r="AD62" i="5" s="1"/>
  <c r="AD63" i="5" s="1"/>
  <c r="AD64" i="5" s="1"/>
  <c r="AD65" i="5" s="1"/>
  <c r="AD66" i="5" s="1"/>
  <c r="AD67" i="5" s="1"/>
  <c r="AD68" i="5" s="1"/>
  <c r="AD69" i="5" s="1"/>
  <c r="AD70" i="5" s="1"/>
  <c r="AD71" i="5" s="1"/>
  <c r="AD72" i="5" s="1"/>
  <c r="AD73" i="5" s="1"/>
  <c r="AD74" i="5" s="1"/>
  <c r="AD75" i="5" s="1"/>
  <c r="AD76" i="5" s="1"/>
  <c r="AD77" i="5" s="1"/>
  <c r="AD78" i="5" s="1"/>
  <c r="AD79" i="5" s="1"/>
  <c r="AD80" i="5" s="1"/>
  <c r="AD81" i="5" s="1"/>
  <c r="AB42" i="5"/>
  <c r="AB43" i="5" s="1"/>
  <c r="AB44" i="5" s="1"/>
  <c r="AB45" i="5" s="1"/>
  <c r="AB46" i="5" s="1"/>
  <c r="AB47" i="5" s="1"/>
  <c r="AB48" i="5" s="1"/>
  <c r="AB49" i="5" s="1"/>
  <c r="AB50" i="5" s="1"/>
  <c r="AB51" i="5" s="1"/>
  <c r="AB52" i="5" s="1"/>
  <c r="AB53" i="5" s="1"/>
  <c r="AB54" i="5" s="1"/>
  <c r="AB55" i="5" s="1"/>
  <c r="AB56" i="5" s="1"/>
  <c r="AB57" i="5" s="1"/>
  <c r="AB58" i="5" s="1"/>
  <c r="AB59" i="5" s="1"/>
  <c r="AB60" i="5" s="1"/>
  <c r="AB61" i="5" s="1"/>
  <c r="AB62" i="5" s="1"/>
  <c r="AB63" i="5" s="1"/>
  <c r="AB64" i="5" s="1"/>
  <c r="AB65" i="5" s="1"/>
  <c r="AB66" i="5" s="1"/>
  <c r="AB67" i="5" s="1"/>
  <c r="AB68" i="5" s="1"/>
  <c r="AB69" i="5" s="1"/>
  <c r="AB70" i="5" s="1"/>
  <c r="AB71" i="5" s="1"/>
  <c r="AB72" i="5" s="1"/>
  <c r="AB73" i="5" s="1"/>
  <c r="AB74" i="5" s="1"/>
  <c r="AB75" i="5" s="1"/>
  <c r="AB76" i="5" s="1"/>
  <c r="AB77" i="5" s="1"/>
  <c r="AB78" i="5" s="1"/>
  <c r="AB79" i="5" s="1"/>
  <c r="AB80" i="5" s="1"/>
  <c r="AB81" i="5" s="1"/>
  <c r="R29" i="5" l="1"/>
  <c r="X29" i="5" s="1"/>
  <c r="AC29" i="5" s="1"/>
  <c r="AE29" i="5" s="1"/>
  <c r="AG29" i="5" s="1"/>
  <c r="AI29" i="5" s="1"/>
  <c r="AK29" i="5" s="1"/>
  <c r="AM29" i="5" s="1"/>
  <c r="Q30" i="5"/>
  <c r="G49" i="5"/>
  <c r="I49" i="5" s="1"/>
  <c r="K49" i="5" s="1"/>
  <c r="E49" i="5"/>
  <c r="S49" i="5" s="1"/>
  <c r="P30" i="5"/>
  <c r="W50" i="5"/>
  <c r="C50" i="5" s="1"/>
  <c r="G51" i="1"/>
  <c r="BC15" i="5"/>
  <c r="AX16" i="5"/>
  <c r="F52" i="1"/>
  <c r="Q9" i="6"/>
  <c r="R30" i="5" l="1"/>
  <c r="X30" i="5" s="1"/>
  <c r="AC30" i="5" s="1"/>
  <c r="AE30" i="5" s="1"/>
  <c r="AG30" i="5" s="1"/>
  <c r="AI30" i="5" s="1"/>
  <c r="AK30" i="5" s="1"/>
  <c r="AM30" i="5" s="1"/>
  <c r="Q31" i="5"/>
  <c r="G50" i="5"/>
  <c r="I50" i="5" s="1"/>
  <c r="K50" i="5" s="1"/>
  <c r="E50" i="5"/>
  <c r="S50" i="5" s="1"/>
  <c r="P31" i="5"/>
  <c r="R9" i="6"/>
  <c r="J18" i="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W51" i="5"/>
  <c r="C51" i="5" s="1"/>
  <c r="H51" i="1"/>
  <c r="BC16" i="5"/>
  <c r="AX17" i="5"/>
  <c r="Q10" i="6"/>
  <c r="G52" i="1"/>
  <c r="K18" i="1" s="1"/>
  <c r="R31" i="5" l="1"/>
  <c r="X31" i="5" s="1"/>
  <c r="AC31" i="5" s="1"/>
  <c r="AE31" i="5" s="1"/>
  <c r="AG31" i="5" s="1"/>
  <c r="AI31" i="5" s="1"/>
  <c r="AK31" i="5" s="1"/>
  <c r="AM31" i="5" s="1"/>
  <c r="Q32" i="5"/>
  <c r="P32" i="5"/>
  <c r="G51" i="5"/>
  <c r="I51" i="5" s="1"/>
  <c r="K51" i="5" s="1"/>
  <c r="E51" i="5"/>
  <c r="S51" i="5" s="1"/>
  <c r="J17" i="6"/>
  <c r="I51" i="1"/>
  <c r="K17" i="6"/>
  <c r="W52" i="5"/>
  <c r="C52" i="5" s="1"/>
  <c r="J46" i="1"/>
  <c r="J47" i="1" s="1"/>
  <c r="H52" i="1"/>
  <c r="AX18" i="5"/>
  <c r="BC17" i="5"/>
  <c r="R10" i="6"/>
  <c r="R32" i="5" l="1"/>
  <c r="X32" i="5" s="1"/>
  <c r="AC32" i="5" s="1"/>
  <c r="AE32" i="5" s="1"/>
  <c r="AG32" i="5" s="1"/>
  <c r="AI32" i="5" s="1"/>
  <c r="AK32" i="5" s="1"/>
  <c r="AM32" i="5" s="1"/>
  <c r="Q33" i="5"/>
  <c r="G52" i="5"/>
  <c r="I52" i="5" s="1"/>
  <c r="K52" i="5" s="1"/>
  <c r="E52" i="5"/>
  <c r="S52" i="5" s="1"/>
  <c r="P33" i="5"/>
  <c r="J18" i="6"/>
  <c r="I52" i="1"/>
  <c r="W53" i="5"/>
  <c r="C53" i="5" s="1"/>
  <c r="K19" i="1"/>
  <c r="K20" i="1" s="1"/>
  <c r="K21" i="1" s="1"/>
  <c r="K22" i="1" s="1"/>
  <c r="K23" i="1" s="1"/>
  <c r="K24" i="1" s="1"/>
  <c r="K25" i="1" s="1"/>
  <c r="K26" i="1" s="1"/>
  <c r="K27" i="1" s="1"/>
  <c r="K28" i="1" s="1"/>
  <c r="K29" i="1" s="1"/>
  <c r="K30" i="1" s="1"/>
  <c r="K31" i="1" s="1"/>
  <c r="K32" i="1" s="1"/>
  <c r="K33" i="1" s="1"/>
  <c r="K34" i="1" s="1"/>
  <c r="K35" i="1" s="1"/>
  <c r="K36" i="1" s="1"/>
  <c r="K37" i="1" s="1"/>
  <c r="K38" i="1" s="1"/>
  <c r="K39" i="1" s="1"/>
  <c r="K40" i="1" s="1"/>
  <c r="K41" i="1" s="1"/>
  <c r="K42" i="1" s="1"/>
  <c r="K43" i="1" s="1"/>
  <c r="K44" i="1" s="1"/>
  <c r="K45" i="1" s="1"/>
  <c r="K18" i="6"/>
  <c r="AY19" i="5"/>
  <c r="BC18" i="5"/>
  <c r="R33" i="5" l="1"/>
  <c r="X33" i="5" s="1"/>
  <c r="AC33" i="5" s="1"/>
  <c r="AE33" i="5" s="1"/>
  <c r="AG33" i="5" s="1"/>
  <c r="AI33" i="5" s="1"/>
  <c r="AK33" i="5" s="1"/>
  <c r="AM33" i="5" s="1"/>
  <c r="Q34" i="5"/>
  <c r="G53" i="5"/>
  <c r="I53" i="5" s="1"/>
  <c r="K53" i="5" s="1"/>
  <c r="E53" i="5"/>
  <c r="S53" i="5" s="1"/>
  <c r="P34" i="5"/>
  <c r="W54" i="5"/>
  <c r="C54" i="5" s="1"/>
  <c r="K46" i="1"/>
  <c r="K47" i="1" s="1"/>
  <c r="BC19" i="5"/>
  <c r="AY20" i="5"/>
  <c r="R34" i="5" l="1"/>
  <c r="X34" i="5" s="1"/>
  <c r="AC34" i="5" s="1"/>
  <c r="AE34" i="5" s="1"/>
  <c r="AG34" i="5" s="1"/>
  <c r="AI34" i="5" s="1"/>
  <c r="AK34" i="5" s="1"/>
  <c r="AM34" i="5" s="1"/>
  <c r="Q35" i="5"/>
  <c r="G54" i="5"/>
  <c r="I54" i="5" s="1"/>
  <c r="K54" i="5" s="1"/>
  <c r="E54" i="5"/>
  <c r="S54" i="5" s="1"/>
  <c r="P35" i="5"/>
  <c r="W55" i="5"/>
  <c r="C55" i="5" s="1"/>
  <c r="BC20" i="5"/>
  <c r="AY21" i="5"/>
  <c r="R35" i="5" l="1"/>
  <c r="X35" i="5" s="1"/>
  <c r="AC35" i="5" s="1"/>
  <c r="AE35" i="5" s="1"/>
  <c r="AG35" i="5" s="1"/>
  <c r="AI35" i="5" s="1"/>
  <c r="AK35" i="5" s="1"/>
  <c r="AM35" i="5" s="1"/>
  <c r="Q36" i="5"/>
  <c r="G55" i="5"/>
  <c r="I55" i="5" s="1"/>
  <c r="K55" i="5" s="1"/>
  <c r="E55" i="5"/>
  <c r="S55" i="5" s="1"/>
  <c r="P36" i="5"/>
  <c r="W56" i="5"/>
  <c r="C56" i="5" s="1"/>
  <c r="AY22" i="5"/>
  <c r="BC21" i="5"/>
  <c r="R36" i="5" l="1"/>
  <c r="X36" i="5" s="1"/>
  <c r="AC36" i="5" s="1"/>
  <c r="AE36" i="5" s="1"/>
  <c r="AG36" i="5" s="1"/>
  <c r="AI36" i="5" s="1"/>
  <c r="AK36" i="5" s="1"/>
  <c r="AM36" i="5" s="1"/>
  <c r="Q37" i="5"/>
  <c r="G56" i="5"/>
  <c r="I56" i="5" s="1"/>
  <c r="K56" i="5" s="1"/>
  <c r="E56" i="5"/>
  <c r="S56" i="5" s="1"/>
  <c r="P37" i="5"/>
  <c r="W57" i="5"/>
  <c r="C57" i="5" s="1"/>
  <c r="AZ23" i="5"/>
  <c r="BC22" i="5"/>
  <c r="D18" i="1"/>
  <c r="R37" i="5" l="1"/>
  <c r="X37" i="5" s="1"/>
  <c r="AC37" i="5" s="1"/>
  <c r="AE37" i="5" s="1"/>
  <c r="AG37" i="5" s="1"/>
  <c r="AI37" i="5" s="1"/>
  <c r="AK37" i="5" s="1"/>
  <c r="AM37" i="5" s="1"/>
  <c r="Q38" i="5"/>
  <c r="G57" i="5"/>
  <c r="I57" i="5" s="1"/>
  <c r="K57" i="5" s="1"/>
  <c r="E57" i="5"/>
  <c r="S57" i="5" s="1"/>
  <c r="P38" i="5"/>
  <c r="W58" i="5"/>
  <c r="C58" i="5" s="1"/>
  <c r="B98" i="1"/>
  <c r="AY18" i="1"/>
  <c r="D19" i="1"/>
  <c r="C93" i="6"/>
  <c r="BC23" i="5"/>
  <c r="AZ24" i="5"/>
  <c r="R38" i="5" l="1"/>
  <c r="X38" i="5" s="1"/>
  <c r="AC38" i="5" s="1"/>
  <c r="Q39" i="5"/>
  <c r="G58" i="5"/>
  <c r="I58" i="5" s="1"/>
  <c r="K58" i="5" s="1"/>
  <c r="E58" i="5"/>
  <c r="S58" i="5" s="1"/>
  <c r="P39" i="5"/>
  <c r="W59" i="5"/>
  <c r="C59" i="5" s="1"/>
  <c r="B99" i="1"/>
  <c r="AY19" i="1"/>
  <c r="D20" i="1"/>
  <c r="C94" i="6"/>
  <c r="BC24" i="5"/>
  <c r="AZ25" i="5"/>
  <c r="AE38" i="5" l="1"/>
  <c r="M18" i="1"/>
  <c r="R39" i="5"/>
  <c r="X39" i="5" s="1"/>
  <c r="AC39" i="5" s="1"/>
  <c r="Q40" i="5"/>
  <c r="G59" i="5"/>
  <c r="I59" i="5" s="1"/>
  <c r="K59" i="5" s="1"/>
  <c r="E59" i="5"/>
  <c r="S59" i="5" s="1"/>
  <c r="P40" i="5"/>
  <c r="W60" i="5"/>
  <c r="C60" i="5" s="1"/>
  <c r="B100" i="1"/>
  <c r="AY20" i="1"/>
  <c r="D21" i="1"/>
  <c r="C95" i="6"/>
  <c r="AZ26" i="5"/>
  <c r="BC25" i="5"/>
  <c r="AE39" i="5" l="1"/>
  <c r="M19" i="1"/>
  <c r="AG38" i="5"/>
  <c r="T18" i="1"/>
  <c r="R40" i="5"/>
  <c r="X40" i="5" s="1"/>
  <c r="AC40" i="5" s="1"/>
  <c r="M20" i="1" s="1"/>
  <c r="Q41" i="5"/>
  <c r="G60" i="5"/>
  <c r="I60" i="5" s="1"/>
  <c r="K60" i="5" s="1"/>
  <c r="E60" i="5"/>
  <c r="S60" i="5" s="1"/>
  <c r="P41" i="5"/>
  <c r="W61" i="5"/>
  <c r="C61" i="5" s="1"/>
  <c r="B101" i="1"/>
  <c r="AY21" i="1"/>
  <c r="D22" i="1"/>
  <c r="C96" i="6"/>
  <c r="AZ27" i="5"/>
  <c r="BC26" i="5"/>
  <c r="AI38" i="5" l="1"/>
  <c r="Z18" i="1"/>
  <c r="AG39" i="5"/>
  <c r="T19" i="1"/>
  <c r="R41" i="5"/>
  <c r="X41" i="5" s="1"/>
  <c r="AC41" i="5" s="1"/>
  <c r="M21" i="1" s="1"/>
  <c r="Q42" i="5"/>
  <c r="G61" i="5"/>
  <c r="I61" i="5" s="1"/>
  <c r="K61" i="5" s="1"/>
  <c r="E61" i="5"/>
  <c r="S61" i="5" s="1"/>
  <c r="P42" i="5"/>
  <c r="W62" i="5"/>
  <c r="C62" i="5" s="1"/>
  <c r="B102" i="1"/>
  <c r="AY22" i="1"/>
  <c r="C97" i="6"/>
  <c r="D23" i="1"/>
  <c r="T56" i="1"/>
  <c r="BC27" i="5"/>
  <c r="AZ28" i="5"/>
  <c r="AI39" i="5" l="1"/>
  <c r="Z19" i="1"/>
  <c r="AK38" i="5"/>
  <c r="AF18" i="1"/>
  <c r="R42" i="5"/>
  <c r="X42" i="5" s="1"/>
  <c r="AC42" i="5" s="1"/>
  <c r="M22" i="1" s="1"/>
  <c r="Q43" i="5"/>
  <c r="G62" i="5"/>
  <c r="I62" i="5" s="1"/>
  <c r="K62" i="5" s="1"/>
  <c r="E62" i="5"/>
  <c r="S62" i="5" s="1"/>
  <c r="P43" i="5"/>
  <c r="W63" i="5"/>
  <c r="C63" i="5" s="1"/>
  <c r="B103" i="1"/>
  <c r="AY23" i="1"/>
  <c r="D24" i="1"/>
  <c r="C98" i="6"/>
  <c r="BC28" i="5"/>
  <c r="AZ29" i="5"/>
  <c r="AM38" i="5" l="1"/>
  <c r="AS18" i="1" s="1"/>
  <c r="AL18" i="1"/>
  <c r="AK39" i="5"/>
  <c r="AF19" i="1"/>
  <c r="R43" i="5"/>
  <c r="X43" i="5" s="1"/>
  <c r="AC43" i="5" s="1"/>
  <c r="M23" i="1" s="1"/>
  <c r="Q44" i="5"/>
  <c r="AI42" i="5"/>
  <c r="AF22" i="1" s="1"/>
  <c r="AG42" i="5"/>
  <c r="Z22" i="1" s="1"/>
  <c r="AK42" i="5"/>
  <c r="AL22" i="1" s="1"/>
  <c r="AM42" i="5"/>
  <c r="AS22" i="1" s="1"/>
  <c r="G63" i="5"/>
  <c r="I63" i="5" s="1"/>
  <c r="K63" i="5" s="1"/>
  <c r="E63" i="5"/>
  <c r="S63" i="5" s="1"/>
  <c r="P44" i="5"/>
  <c r="W64" i="5"/>
  <c r="C64" i="5" s="1"/>
  <c r="B104" i="1"/>
  <c r="AY24" i="1"/>
  <c r="D25" i="1"/>
  <c r="C99" i="6"/>
  <c r="AZ30" i="5"/>
  <c r="BC29" i="5"/>
  <c r="AM39" i="5" l="1"/>
  <c r="AS19" i="1" s="1"/>
  <c r="AL19" i="1"/>
  <c r="R44" i="5"/>
  <c r="X44" i="5" s="1"/>
  <c r="AC44" i="5" s="1"/>
  <c r="M24" i="1" s="1"/>
  <c r="Q45" i="5"/>
  <c r="AK43" i="5"/>
  <c r="AL23" i="1" s="1"/>
  <c r="AI43" i="5"/>
  <c r="AF23" i="1" s="1"/>
  <c r="AM43" i="5"/>
  <c r="AS23" i="1" s="1"/>
  <c r="G64" i="5"/>
  <c r="I64" i="5" s="1"/>
  <c r="K64" i="5" s="1"/>
  <c r="E64" i="5"/>
  <c r="S64" i="5" s="1"/>
  <c r="P45" i="5"/>
  <c r="W65" i="5"/>
  <c r="C65" i="5" s="1"/>
  <c r="B105" i="1"/>
  <c r="AY25" i="1"/>
  <c r="D26" i="1"/>
  <c r="C100" i="6"/>
  <c r="AZ31" i="5"/>
  <c r="AZ33" i="5"/>
  <c r="BC33" i="5" s="1"/>
  <c r="BC30" i="5"/>
  <c r="AZ32" i="5"/>
  <c r="R45" i="5" l="1"/>
  <c r="X45" i="5" s="1"/>
  <c r="AC45" i="5" s="1"/>
  <c r="M25" i="1" s="1"/>
  <c r="Q46" i="5"/>
  <c r="AI44" i="5"/>
  <c r="AF24" i="1" s="1"/>
  <c r="AG44" i="5"/>
  <c r="Z24" i="1" s="1"/>
  <c r="AK44" i="5"/>
  <c r="AL24" i="1" s="1"/>
  <c r="AM44" i="5"/>
  <c r="AS24" i="1" s="1"/>
  <c r="G65" i="5"/>
  <c r="I65" i="5" s="1"/>
  <c r="K65" i="5" s="1"/>
  <c r="E65" i="5"/>
  <c r="S65" i="5" s="1"/>
  <c r="P46" i="5"/>
  <c r="W66" i="5"/>
  <c r="C66" i="5" s="1"/>
  <c r="B106" i="1"/>
  <c r="AY26" i="1"/>
  <c r="D27" i="1"/>
  <c r="C101" i="6"/>
  <c r="BC32" i="5"/>
  <c r="AZ35" i="5"/>
  <c r="BC35" i="5" s="1"/>
  <c r="AZ36" i="5"/>
  <c r="AZ34" i="5"/>
  <c r="BC31" i="5"/>
  <c r="R46" i="5" l="1"/>
  <c r="X46" i="5" s="1"/>
  <c r="AC46" i="5" s="1"/>
  <c r="M26" i="1" s="1"/>
  <c r="Q47" i="5"/>
  <c r="AI45" i="5"/>
  <c r="AF25" i="1" s="1"/>
  <c r="AM45" i="5"/>
  <c r="AS25" i="1" s="1"/>
  <c r="AK45" i="5"/>
  <c r="AL25" i="1" s="1"/>
  <c r="G66" i="5"/>
  <c r="I66" i="5" s="1"/>
  <c r="K66" i="5" s="1"/>
  <c r="E66" i="5"/>
  <c r="S66" i="5" s="1"/>
  <c r="P47" i="5"/>
  <c r="W67" i="5"/>
  <c r="C67" i="5" s="1"/>
  <c r="B107" i="1"/>
  <c r="AY27" i="1"/>
  <c r="C102" i="6"/>
  <c r="D28" i="1"/>
  <c r="T57" i="1"/>
  <c r="BC36" i="5"/>
  <c r="AZ39" i="5"/>
  <c r="AZ38" i="5"/>
  <c r="BC38" i="5" s="1"/>
  <c r="AZ37" i="5"/>
  <c r="BC37" i="5" s="1"/>
  <c r="BC34" i="5"/>
  <c r="R47" i="5" l="1"/>
  <c r="X47" i="5" s="1"/>
  <c r="AC47" i="5" s="1"/>
  <c r="M27" i="1" s="1"/>
  <c r="Q48" i="5"/>
  <c r="AG46" i="5"/>
  <c r="Z26" i="1" s="1"/>
  <c r="AM46" i="5"/>
  <c r="AS26" i="1" s="1"/>
  <c r="AK46" i="5"/>
  <c r="AL26" i="1" s="1"/>
  <c r="AI46" i="5"/>
  <c r="AF26" i="1" s="1"/>
  <c r="G67" i="5"/>
  <c r="I67" i="5" s="1"/>
  <c r="K67" i="5" s="1"/>
  <c r="E67" i="5"/>
  <c r="S67" i="5" s="1"/>
  <c r="P48" i="5"/>
  <c r="W68" i="5"/>
  <c r="C68" i="5" s="1"/>
  <c r="B108" i="1"/>
  <c r="AY28" i="1"/>
  <c r="D29" i="1"/>
  <c r="C103" i="6"/>
  <c r="BC39" i="5"/>
  <c r="BA43" i="5"/>
  <c r="R48" i="5" l="1"/>
  <c r="X48" i="5" s="1"/>
  <c r="AC48" i="5" s="1"/>
  <c r="M28" i="1" s="1"/>
  <c r="Q49" i="5"/>
  <c r="AK47" i="5"/>
  <c r="AL27" i="1" s="1"/>
  <c r="AM47" i="5"/>
  <c r="AS27" i="1" s="1"/>
  <c r="AI47" i="5"/>
  <c r="AF27" i="1" s="1"/>
  <c r="G68" i="5"/>
  <c r="I68" i="5" s="1"/>
  <c r="K68" i="5" s="1"/>
  <c r="E68" i="5"/>
  <c r="S68" i="5" s="1"/>
  <c r="P49" i="5"/>
  <c r="W69" i="5"/>
  <c r="C69" i="5" s="1"/>
  <c r="B109" i="1"/>
  <c r="AY29" i="1"/>
  <c r="D30" i="1"/>
  <c r="C104" i="6"/>
  <c r="R49" i="5" l="1"/>
  <c r="X49" i="5" s="1"/>
  <c r="AC49" i="5" s="1"/>
  <c r="M29" i="1" s="1"/>
  <c r="Q50" i="5"/>
  <c r="AM48" i="5"/>
  <c r="AS28" i="1" s="1"/>
  <c r="AI48" i="5"/>
  <c r="AF28" i="1" s="1"/>
  <c r="AG48" i="5"/>
  <c r="Z28" i="1" s="1"/>
  <c r="AK48" i="5"/>
  <c r="AL28" i="1" s="1"/>
  <c r="G69" i="5"/>
  <c r="I69" i="5" s="1"/>
  <c r="K69" i="5" s="1"/>
  <c r="E69" i="5"/>
  <c r="S69" i="5" s="1"/>
  <c r="P50" i="5"/>
  <c r="W70" i="5"/>
  <c r="C70" i="5" s="1"/>
  <c r="B110" i="1"/>
  <c r="AY30" i="1"/>
  <c r="D31" i="1"/>
  <c r="C105" i="6"/>
  <c r="R50" i="5" l="1"/>
  <c r="X50" i="5" s="1"/>
  <c r="AC50" i="5" s="1"/>
  <c r="M30" i="1" s="1"/>
  <c r="Q51" i="5"/>
  <c r="AM49" i="5"/>
  <c r="AS29" i="1" s="1"/>
  <c r="AI49" i="5"/>
  <c r="AF29" i="1" s="1"/>
  <c r="AK49" i="5"/>
  <c r="AL29" i="1" s="1"/>
  <c r="G70" i="5"/>
  <c r="I70" i="5" s="1"/>
  <c r="K70" i="5" s="1"/>
  <c r="E70" i="5"/>
  <c r="S70" i="5" s="1"/>
  <c r="P51" i="5"/>
  <c r="W71" i="5"/>
  <c r="C71" i="5" s="1"/>
  <c r="B111" i="1"/>
  <c r="AY31" i="1"/>
  <c r="D32" i="1"/>
  <c r="C106" i="6"/>
  <c r="R51" i="5" l="1"/>
  <c r="X51" i="5" s="1"/>
  <c r="AC51" i="5" s="1"/>
  <c r="M31" i="1" s="1"/>
  <c r="Q52" i="5"/>
  <c r="AK50" i="5"/>
  <c r="AL30" i="1" s="1"/>
  <c r="AG50" i="5"/>
  <c r="Z30" i="1" s="1"/>
  <c r="AM50" i="5"/>
  <c r="AS30" i="1" s="1"/>
  <c r="AI50" i="5"/>
  <c r="AF30" i="1" s="1"/>
  <c r="G71" i="5"/>
  <c r="I71" i="5" s="1"/>
  <c r="K71" i="5" s="1"/>
  <c r="E71" i="5"/>
  <c r="S71" i="5" s="1"/>
  <c r="P52" i="5"/>
  <c r="W72" i="5"/>
  <c r="C72" i="5" s="1"/>
  <c r="B112" i="1"/>
  <c r="AY32" i="1"/>
  <c r="C107" i="6"/>
  <c r="D33" i="1"/>
  <c r="T58" i="1"/>
  <c r="R52" i="5" l="1"/>
  <c r="Q53" i="5"/>
  <c r="AI51" i="5"/>
  <c r="AF31" i="1" s="1"/>
  <c r="AK51" i="5"/>
  <c r="AL31" i="1" s="1"/>
  <c r="AM51" i="5"/>
  <c r="AS31" i="1" s="1"/>
  <c r="G72" i="5"/>
  <c r="I72" i="5" s="1"/>
  <c r="K72" i="5" s="1"/>
  <c r="E72" i="5"/>
  <c r="S72" i="5" s="1"/>
  <c r="P53" i="5"/>
  <c r="X52" i="5"/>
  <c r="AC52" i="5" s="1"/>
  <c r="M32" i="1" s="1"/>
  <c r="W73" i="5"/>
  <c r="C73" i="5" s="1"/>
  <c r="B113" i="1"/>
  <c r="AY33" i="1"/>
  <c r="D34" i="1"/>
  <c r="C108" i="6"/>
  <c r="R53" i="5" l="1"/>
  <c r="X53" i="5" s="1"/>
  <c r="AC53" i="5" s="1"/>
  <c r="M33" i="1" s="1"/>
  <c r="Q54" i="5"/>
  <c r="AM52" i="5"/>
  <c r="AS32" i="1" s="1"/>
  <c r="AI52" i="5"/>
  <c r="AF32" i="1" s="1"/>
  <c r="AG52" i="5"/>
  <c r="Z32" i="1" s="1"/>
  <c r="AK52" i="5"/>
  <c r="AL32" i="1" s="1"/>
  <c r="G73" i="5"/>
  <c r="I73" i="5" s="1"/>
  <c r="K73" i="5" s="1"/>
  <c r="E73" i="5"/>
  <c r="S73" i="5" s="1"/>
  <c r="P54" i="5"/>
  <c r="W74" i="5"/>
  <c r="C74" i="5" s="1"/>
  <c r="B114" i="1"/>
  <c r="AY34" i="1"/>
  <c r="D35" i="1"/>
  <c r="C109" i="6"/>
  <c r="R54" i="5" l="1"/>
  <c r="X54" i="5" s="1"/>
  <c r="AC54" i="5" s="1"/>
  <c r="M34" i="1" s="1"/>
  <c r="Q55" i="5"/>
  <c r="AM53" i="5"/>
  <c r="AS33" i="1" s="1"/>
  <c r="AK53" i="5"/>
  <c r="AL33" i="1" s="1"/>
  <c r="AI53" i="5"/>
  <c r="AF33" i="1" s="1"/>
  <c r="G74" i="5"/>
  <c r="I74" i="5" s="1"/>
  <c r="K74" i="5" s="1"/>
  <c r="E74" i="5"/>
  <c r="S74" i="5" s="1"/>
  <c r="P55" i="5"/>
  <c r="W75" i="5"/>
  <c r="C75" i="5" s="1"/>
  <c r="B115" i="1"/>
  <c r="AY35" i="1"/>
  <c r="D36" i="1"/>
  <c r="C110" i="6"/>
  <c r="R55" i="5" l="1"/>
  <c r="X55" i="5" s="1"/>
  <c r="AC55" i="5" s="1"/>
  <c r="M35" i="1" s="1"/>
  <c r="Q56" i="5"/>
  <c r="AG54" i="5"/>
  <c r="Z34" i="1" s="1"/>
  <c r="AM54" i="5"/>
  <c r="AS34" i="1" s="1"/>
  <c r="AK54" i="5"/>
  <c r="AL34" i="1" s="1"/>
  <c r="AI54" i="5"/>
  <c r="AF34" i="1" s="1"/>
  <c r="G75" i="5"/>
  <c r="I75" i="5" s="1"/>
  <c r="K75" i="5" s="1"/>
  <c r="E75" i="5"/>
  <c r="S75" i="5" s="1"/>
  <c r="P56" i="5"/>
  <c r="W76" i="5"/>
  <c r="C76" i="5" s="1"/>
  <c r="B116" i="1"/>
  <c r="AY36" i="1"/>
  <c r="D37" i="1"/>
  <c r="C111" i="6"/>
  <c r="R56" i="5" l="1"/>
  <c r="X56" i="5" s="1"/>
  <c r="AC56" i="5" s="1"/>
  <c r="M36" i="1" s="1"/>
  <c r="Q57" i="5"/>
  <c r="AK55" i="5"/>
  <c r="AL35" i="1" s="1"/>
  <c r="AI55" i="5"/>
  <c r="AF35" i="1" s="1"/>
  <c r="AM55" i="5"/>
  <c r="AS35" i="1" s="1"/>
  <c r="G76" i="5"/>
  <c r="I76" i="5" s="1"/>
  <c r="K76" i="5" s="1"/>
  <c r="E76" i="5"/>
  <c r="S76" i="5" s="1"/>
  <c r="P57" i="5"/>
  <c r="W77" i="5"/>
  <c r="C77" i="5" s="1"/>
  <c r="B117" i="1"/>
  <c r="AY37" i="1"/>
  <c r="C112" i="6"/>
  <c r="D38" i="1"/>
  <c r="T59" i="1"/>
  <c r="R57" i="5" l="1"/>
  <c r="X57" i="5" s="1"/>
  <c r="AC57" i="5" s="1"/>
  <c r="M37" i="1" s="1"/>
  <c r="Q58" i="5"/>
  <c r="AM56" i="5"/>
  <c r="AS36" i="1" s="1"/>
  <c r="AI56" i="5"/>
  <c r="AF36" i="1" s="1"/>
  <c r="AK56" i="5"/>
  <c r="AL36" i="1" s="1"/>
  <c r="AG56" i="5"/>
  <c r="Z36" i="1" s="1"/>
  <c r="G77" i="5"/>
  <c r="I77" i="5" s="1"/>
  <c r="K77" i="5" s="1"/>
  <c r="E77" i="5"/>
  <c r="S77" i="5" s="1"/>
  <c r="P58" i="5"/>
  <c r="W78" i="5"/>
  <c r="C78" i="5" s="1"/>
  <c r="B118" i="1"/>
  <c r="AY38" i="1"/>
  <c r="D39" i="1"/>
  <c r="C113" i="6"/>
  <c r="R58" i="5" l="1"/>
  <c r="X58" i="5" s="1"/>
  <c r="AC58" i="5" s="1"/>
  <c r="M38" i="1" s="1"/>
  <c r="Q59" i="5"/>
  <c r="AM57" i="5"/>
  <c r="AS37" i="1" s="1"/>
  <c r="AK57" i="5"/>
  <c r="AL37" i="1" s="1"/>
  <c r="AI57" i="5"/>
  <c r="AF37" i="1" s="1"/>
  <c r="G78" i="5"/>
  <c r="I78" i="5" s="1"/>
  <c r="K78" i="5" s="1"/>
  <c r="E78" i="5"/>
  <c r="S78" i="5" s="1"/>
  <c r="P59" i="5"/>
  <c r="W79" i="5"/>
  <c r="C79" i="5" s="1"/>
  <c r="B119" i="1"/>
  <c r="AY39" i="1"/>
  <c r="D40" i="1"/>
  <c r="C114" i="6"/>
  <c r="R59" i="5" l="1"/>
  <c r="X59" i="5" s="1"/>
  <c r="AC59" i="5" s="1"/>
  <c r="M39" i="1" s="1"/>
  <c r="Q60" i="5"/>
  <c r="AI58" i="5"/>
  <c r="AF38" i="1" s="1"/>
  <c r="AM58" i="5"/>
  <c r="AS38" i="1" s="1"/>
  <c r="AG58" i="5"/>
  <c r="Z38" i="1" s="1"/>
  <c r="AK58" i="5"/>
  <c r="AL38" i="1" s="1"/>
  <c r="G79" i="5"/>
  <c r="I79" i="5" s="1"/>
  <c r="K79" i="5" s="1"/>
  <c r="E79" i="5"/>
  <c r="S79" i="5" s="1"/>
  <c r="P60" i="5"/>
  <c r="W80" i="5"/>
  <c r="C80" i="5" s="1"/>
  <c r="B120" i="1"/>
  <c r="AY40" i="1"/>
  <c r="D41" i="1"/>
  <c r="C115" i="6"/>
  <c r="R60" i="5" l="1"/>
  <c r="X60" i="5" s="1"/>
  <c r="AC60" i="5" s="1"/>
  <c r="M40" i="1" s="1"/>
  <c r="Q61" i="5"/>
  <c r="AM59" i="5"/>
  <c r="AS39" i="1" s="1"/>
  <c r="AK59" i="5"/>
  <c r="AL39" i="1" s="1"/>
  <c r="AI59" i="5"/>
  <c r="AF39" i="1" s="1"/>
  <c r="G80" i="5"/>
  <c r="I80" i="5" s="1"/>
  <c r="K80" i="5" s="1"/>
  <c r="E80" i="5"/>
  <c r="S80" i="5" s="1"/>
  <c r="P61" i="5"/>
  <c r="W81" i="5"/>
  <c r="C81" i="5" s="1"/>
  <c r="B121" i="1"/>
  <c r="AY41" i="1"/>
  <c r="D42" i="1"/>
  <c r="C116" i="6"/>
  <c r="R61" i="5" l="1"/>
  <c r="X61" i="5" s="1"/>
  <c r="AC61" i="5" s="1"/>
  <c r="M41" i="1" s="1"/>
  <c r="Q62" i="5"/>
  <c r="AI60" i="5"/>
  <c r="AF40" i="1" s="1"/>
  <c r="AG60" i="5"/>
  <c r="Z40" i="1" s="1"/>
  <c r="AK60" i="5"/>
  <c r="AL40" i="1" s="1"/>
  <c r="AM60" i="5"/>
  <c r="AS40" i="1" s="1"/>
  <c r="G81" i="5"/>
  <c r="I81" i="5" s="1"/>
  <c r="K81" i="5" s="1"/>
  <c r="E81" i="5"/>
  <c r="S81" i="5" s="1"/>
  <c r="P62" i="5"/>
  <c r="B122" i="1"/>
  <c r="AY42" i="1"/>
  <c r="D43" i="1"/>
  <c r="C117" i="6"/>
  <c r="T60" i="1"/>
  <c r="R62" i="5" l="1"/>
  <c r="X62" i="5" s="1"/>
  <c r="AC62" i="5" s="1"/>
  <c r="M42" i="1" s="1"/>
  <c r="Q63" i="5"/>
  <c r="AM61" i="5"/>
  <c r="AS41" i="1" s="1"/>
  <c r="AI61" i="5"/>
  <c r="AF41" i="1" s="1"/>
  <c r="AK61" i="5"/>
  <c r="AL41" i="1" s="1"/>
  <c r="P63" i="5"/>
  <c r="B123" i="1"/>
  <c r="AY43" i="1"/>
  <c r="D44" i="1"/>
  <c r="C118" i="6"/>
  <c r="R63" i="5" l="1"/>
  <c r="Q64" i="5"/>
  <c r="AI62" i="5"/>
  <c r="AF42" i="1" s="1"/>
  <c r="AG62" i="5"/>
  <c r="Z42" i="1" s="1"/>
  <c r="AK62" i="5"/>
  <c r="AL42" i="1" s="1"/>
  <c r="AM62" i="5"/>
  <c r="AS42" i="1" s="1"/>
  <c r="P64" i="5"/>
  <c r="X63" i="5"/>
  <c r="AC63" i="5" s="1"/>
  <c r="M43" i="1" s="1"/>
  <c r="B124" i="1"/>
  <c r="AY44" i="1"/>
  <c r="D45" i="1"/>
  <c r="C119" i="6"/>
  <c r="R64" i="5" l="1"/>
  <c r="X64" i="5" s="1"/>
  <c r="AC64" i="5" s="1"/>
  <c r="M44" i="1" s="1"/>
  <c r="Q65" i="5"/>
  <c r="AI63" i="5"/>
  <c r="AF43" i="1" s="1"/>
  <c r="AK63" i="5"/>
  <c r="AL43" i="1" s="1"/>
  <c r="AM63" i="5"/>
  <c r="AS43" i="1" s="1"/>
  <c r="P65" i="5"/>
  <c r="B125" i="1"/>
  <c r="AY45" i="1"/>
  <c r="D46" i="1"/>
  <c r="C120" i="6"/>
  <c r="R65" i="5" l="1"/>
  <c r="X65" i="5" s="1"/>
  <c r="AC65" i="5" s="1"/>
  <c r="M45" i="1" s="1"/>
  <c r="Q66" i="5"/>
  <c r="AG64" i="5"/>
  <c r="Z44" i="1" s="1"/>
  <c r="AM64" i="5"/>
  <c r="AS44" i="1" s="1"/>
  <c r="AI64" i="5"/>
  <c r="AF44" i="1" s="1"/>
  <c r="AK64" i="5"/>
  <c r="AL44" i="1" s="1"/>
  <c r="P66" i="5"/>
  <c r="B126" i="1"/>
  <c r="AY46" i="1"/>
  <c r="D47" i="1"/>
  <c r="C121" i="6"/>
  <c r="R66" i="5" l="1"/>
  <c r="X66" i="5" s="1"/>
  <c r="AC66" i="5" s="1"/>
  <c r="M46" i="1" s="1"/>
  <c r="Q67" i="5"/>
  <c r="AI65" i="5"/>
  <c r="AF45" i="1" s="1"/>
  <c r="AM65" i="5"/>
  <c r="AS45" i="1" s="1"/>
  <c r="AK65" i="5"/>
  <c r="AL45" i="1" s="1"/>
  <c r="P67" i="5"/>
  <c r="B127" i="1"/>
  <c r="AY47" i="1"/>
  <c r="T61" i="1"/>
  <c r="C122" i="6"/>
  <c r="R67" i="5" l="1"/>
  <c r="X67" i="5" s="1"/>
  <c r="AC67" i="5" s="1"/>
  <c r="M47" i="1" s="1"/>
  <c r="Q68" i="5"/>
  <c r="AI66" i="5"/>
  <c r="AF46" i="1" s="1"/>
  <c r="AM66" i="5"/>
  <c r="AS46" i="1" s="1"/>
  <c r="AK66" i="5"/>
  <c r="AL46" i="1" s="1"/>
  <c r="AG66" i="5"/>
  <c r="Z46" i="1" s="1"/>
  <c r="P68" i="5"/>
  <c r="R68" i="5" l="1"/>
  <c r="X68" i="5" s="1"/>
  <c r="AC68" i="5" s="1"/>
  <c r="Q69" i="5"/>
  <c r="AI67" i="5"/>
  <c r="AF47" i="1" s="1"/>
  <c r="AM67" i="5"/>
  <c r="AS47" i="1" s="1"/>
  <c r="AK67" i="5"/>
  <c r="AL47" i="1" s="1"/>
  <c r="P69" i="5"/>
  <c r="E19" i="1"/>
  <c r="E20" i="1" s="1"/>
  <c r="E21" i="1" s="1"/>
  <c r="E22" i="1" s="1"/>
  <c r="E23" i="1" s="1"/>
  <c r="E24" i="1" s="1"/>
  <c r="E25" i="1" s="1"/>
  <c r="E26" i="1" s="1"/>
  <c r="E27" i="1" s="1"/>
  <c r="E28" i="1" s="1"/>
  <c r="E29" i="1" s="1"/>
  <c r="E30" i="1" s="1"/>
  <c r="E31" i="1" s="1"/>
  <c r="E32" i="1" s="1"/>
  <c r="E33" i="1" s="1"/>
  <c r="E34" i="1" s="1"/>
  <c r="E35" i="1" s="1"/>
  <c r="E36" i="1" s="1"/>
  <c r="E37" i="1" s="1"/>
  <c r="E38" i="1" s="1"/>
  <c r="R69" i="5" l="1"/>
  <c r="X69" i="5" s="1"/>
  <c r="AC69" i="5" s="1"/>
  <c r="Q70" i="5"/>
  <c r="AK68" i="5"/>
  <c r="AI68" i="5"/>
  <c r="AG68" i="5"/>
  <c r="AM68" i="5"/>
  <c r="P70" i="5"/>
  <c r="E39" i="1"/>
  <c r="E40" i="1" s="1"/>
  <c r="E41" i="1" s="1"/>
  <c r="E42" i="1" s="1"/>
  <c r="E43" i="1" s="1"/>
  <c r="E44" i="1" s="1"/>
  <c r="E45" i="1" s="1"/>
  <c r="R70" i="5" l="1"/>
  <c r="X70" i="5" s="1"/>
  <c r="AC70" i="5" s="1"/>
  <c r="Q71" i="5"/>
  <c r="AM69" i="5"/>
  <c r="AK69" i="5"/>
  <c r="AI69" i="5"/>
  <c r="P71" i="5"/>
  <c r="E46" i="1"/>
  <c r="E47" i="1" s="1"/>
  <c r="R71" i="5" l="1"/>
  <c r="X71" i="5" s="1"/>
  <c r="AC71" i="5" s="1"/>
  <c r="Q72" i="5"/>
  <c r="AK70" i="5"/>
  <c r="AI70" i="5"/>
  <c r="AG70" i="5"/>
  <c r="AM70" i="5"/>
  <c r="P72" i="5"/>
  <c r="C18" i="1"/>
  <c r="R72" i="5" l="1"/>
  <c r="X72" i="5" s="1"/>
  <c r="AC72" i="5" s="1"/>
  <c r="Q73" i="5"/>
  <c r="AI71" i="5"/>
  <c r="AK71" i="5"/>
  <c r="AM71" i="5"/>
  <c r="P73" i="5"/>
  <c r="C133" i="1"/>
  <c r="B93" i="6" s="1"/>
  <c r="BV18" i="1"/>
  <c r="BW18" i="1" s="1"/>
  <c r="E93" i="6"/>
  <c r="C64" i="1"/>
  <c r="L18" i="1"/>
  <c r="C19" i="1"/>
  <c r="R73" i="5" l="1"/>
  <c r="X73" i="5" s="1"/>
  <c r="AC73" i="5" s="1"/>
  <c r="Q74" i="5"/>
  <c r="AG72" i="5"/>
  <c r="AM72" i="5"/>
  <c r="AK72" i="5"/>
  <c r="AI72" i="5"/>
  <c r="P74" i="5"/>
  <c r="D133" i="1"/>
  <c r="D93" i="6" s="1"/>
  <c r="BX18" i="1"/>
  <c r="BY18" i="1" s="1"/>
  <c r="AG18" i="1"/>
  <c r="AH18" i="1" s="1"/>
  <c r="BH18" i="1" s="1"/>
  <c r="U18" i="1"/>
  <c r="V18" i="1" s="1"/>
  <c r="AZ18" i="1" s="1"/>
  <c r="AT18" i="1"/>
  <c r="AU18" i="1" s="1"/>
  <c r="BP18" i="1" s="1"/>
  <c r="AA18" i="1"/>
  <c r="AB18" i="1" s="1"/>
  <c r="BD18" i="1" s="1"/>
  <c r="AM18" i="1"/>
  <c r="AN18" i="1" s="1"/>
  <c r="BL18" i="1" s="1"/>
  <c r="N18" i="1"/>
  <c r="O18" i="1" s="1"/>
  <c r="C134" i="1"/>
  <c r="B94" i="6" s="1"/>
  <c r="D134" i="1"/>
  <c r="D94" i="6" s="1"/>
  <c r="E94" i="6"/>
  <c r="L19" i="1"/>
  <c r="C65" i="1"/>
  <c r="C99" i="1" s="1"/>
  <c r="C20" i="1"/>
  <c r="C98" i="1"/>
  <c r="R74" i="5" l="1"/>
  <c r="X74" i="5" s="1"/>
  <c r="AC74" i="5" s="1"/>
  <c r="Q75" i="5"/>
  <c r="AM73" i="5"/>
  <c r="AI73" i="5"/>
  <c r="AK73" i="5"/>
  <c r="P75" i="5"/>
  <c r="BZ18" i="1"/>
  <c r="I18" i="1" s="1"/>
  <c r="H18" i="1"/>
  <c r="BX19" i="1"/>
  <c r="BY19" i="1" s="1"/>
  <c r="AM19" i="1"/>
  <c r="AA19" i="1"/>
  <c r="U19" i="1"/>
  <c r="V19" i="1" s="1"/>
  <c r="AG19" i="1"/>
  <c r="AT19" i="1"/>
  <c r="N19" i="1"/>
  <c r="BQ18" i="1"/>
  <c r="BI18" i="1"/>
  <c r="BM18" i="1"/>
  <c r="BE18" i="1"/>
  <c r="BA18" i="1"/>
  <c r="C135" i="1"/>
  <c r="B95" i="6" s="1"/>
  <c r="BR18" i="1"/>
  <c r="BF18" i="1"/>
  <c r="BB18" i="1"/>
  <c r="BJ18" i="1"/>
  <c r="BN18" i="1"/>
  <c r="P18" i="1"/>
  <c r="E133" i="1"/>
  <c r="F93" i="6" s="1"/>
  <c r="K98" i="1"/>
  <c r="L98" i="1" s="1"/>
  <c r="C66" i="1"/>
  <c r="L20" i="1"/>
  <c r="E95" i="6"/>
  <c r="D135" i="1"/>
  <c r="D95" i="6" s="1"/>
  <c r="C21" i="1"/>
  <c r="R75" i="5" l="1"/>
  <c r="X75" i="5" s="1"/>
  <c r="AC75" i="5" s="1"/>
  <c r="Q76" i="5"/>
  <c r="AI74" i="5"/>
  <c r="AK74" i="5"/>
  <c r="AM74" i="5"/>
  <c r="AG74" i="5"/>
  <c r="P76" i="5"/>
  <c r="BZ19" i="1"/>
  <c r="BX20" i="1"/>
  <c r="BY20" i="1" s="1"/>
  <c r="U20" i="1"/>
  <c r="BO18" i="1"/>
  <c r="BC18" i="1"/>
  <c r="BS18" i="1"/>
  <c r="AZ19" i="1"/>
  <c r="BG18" i="1"/>
  <c r="BK18" i="1"/>
  <c r="C136" i="1"/>
  <c r="B96" i="6" s="1"/>
  <c r="AU19" i="1"/>
  <c r="AT20" i="1" s="1"/>
  <c r="AB19" i="1"/>
  <c r="AA20" i="1" s="1"/>
  <c r="AN19" i="1"/>
  <c r="AM20" i="1" s="1"/>
  <c r="L21" i="1"/>
  <c r="E96" i="6"/>
  <c r="D136" i="1"/>
  <c r="D96" i="6" s="1"/>
  <c r="C67" i="1"/>
  <c r="C101" i="1" s="1"/>
  <c r="C22" i="1"/>
  <c r="C100" i="1"/>
  <c r="AH19" i="1"/>
  <c r="AG20" i="1" s="1"/>
  <c r="R76" i="5" l="1"/>
  <c r="X76" i="5" s="1"/>
  <c r="AC76" i="5" s="1"/>
  <c r="Q77" i="5"/>
  <c r="AI75" i="5"/>
  <c r="AK75" i="5"/>
  <c r="AM75" i="5"/>
  <c r="P77" i="5"/>
  <c r="BZ20" i="1"/>
  <c r="BX21" i="1"/>
  <c r="BY21" i="1" s="1"/>
  <c r="BL19" i="1"/>
  <c r="BN19" i="1" s="1"/>
  <c r="BP19" i="1"/>
  <c r="BR19" i="1" s="1"/>
  <c r="BB19" i="1"/>
  <c r="BH19" i="1"/>
  <c r="BD19" i="1"/>
  <c r="C137" i="1"/>
  <c r="B97" i="6" s="1"/>
  <c r="V20" i="1"/>
  <c r="U21" i="1" s="1"/>
  <c r="U56" i="1"/>
  <c r="C68" i="1"/>
  <c r="D137" i="1"/>
  <c r="D97" i="6" s="1"/>
  <c r="L22" i="1"/>
  <c r="E97" i="6"/>
  <c r="C23" i="1"/>
  <c r="R77" i="5" l="1"/>
  <c r="X77" i="5" s="1"/>
  <c r="AC77" i="5" s="1"/>
  <c r="Q78" i="5"/>
  <c r="AG76" i="5"/>
  <c r="AK76" i="5"/>
  <c r="AM76" i="5"/>
  <c r="AI76" i="5"/>
  <c r="P78" i="5"/>
  <c r="BZ21" i="1"/>
  <c r="BX22" i="1"/>
  <c r="BY22" i="1" s="1"/>
  <c r="BJ19" i="1"/>
  <c r="BF19" i="1"/>
  <c r="AZ20" i="1"/>
  <c r="C138" i="1"/>
  <c r="B98" i="6" s="1"/>
  <c r="AH20" i="1"/>
  <c r="AG21" i="1" s="1"/>
  <c r="AN20" i="1"/>
  <c r="AM21" i="1" s="1"/>
  <c r="AB20" i="1"/>
  <c r="AA21" i="1" s="1"/>
  <c r="C69" i="1"/>
  <c r="C103" i="1" s="1"/>
  <c r="L23" i="1"/>
  <c r="D138" i="1"/>
  <c r="D98" i="6" s="1"/>
  <c r="E98" i="6"/>
  <c r="C24" i="1"/>
  <c r="AU20" i="1"/>
  <c r="AT21" i="1" s="1"/>
  <c r="C102" i="1"/>
  <c r="R78" i="5" l="1"/>
  <c r="X78" i="5" s="1"/>
  <c r="AC78" i="5" s="1"/>
  <c r="Q79" i="5"/>
  <c r="AI77" i="5"/>
  <c r="AM77" i="5"/>
  <c r="AK77" i="5"/>
  <c r="P79" i="5"/>
  <c r="BZ22" i="1"/>
  <c r="BX23" i="1"/>
  <c r="BY23" i="1" s="1"/>
  <c r="BP20" i="1"/>
  <c r="BR20" i="1" s="1"/>
  <c r="BL20" i="1"/>
  <c r="BN20" i="1" s="1"/>
  <c r="BB20" i="1"/>
  <c r="BH20" i="1"/>
  <c r="BJ20" i="1" s="1"/>
  <c r="BD20" i="1"/>
  <c r="C139" i="1"/>
  <c r="B99" i="6" s="1"/>
  <c r="V21" i="1"/>
  <c r="U22" i="1" s="1"/>
  <c r="D139" i="1"/>
  <c r="D99" i="6" s="1"/>
  <c r="L24" i="1"/>
  <c r="E99" i="6"/>
  <c r="C70" i="1"/>
  <c r="C25" i="1"/>
  <c r="R79" i="5" l="1"/>
  <c r="X79" i="5" s="1"/>
  <c r="AC79" i="5" s="1"/>
  <c r="Q80" i="5"/>
  <c r="AK78" i="5"/>
  <c r="AI78" i="5"/>
  <c r="AG78" i="5"/>
  <c r="AM78" i="5"/>
  <c r="P80" i="5"/>
  <c r="BZ23" i="1"/>
  <c r="BX24" i="1"/>
  <c r="BY24" i="1" s="1"/>
  <c r="BF20" i="1"/>
  <c r="AZ21" i="1"/>
  <c r="C140" i="1"/>
  <c r="B100" i="6" s="1"/>
  <c r="AU21" i="1"/>
  <c r="AT22" i="1" s="1"/>
  <c r="AH21" i="1"/>
  <c r="AG22" i="1" s="1"/>
  <c r="AN21" i="1"/>
  <c r="AM22" i="1" s="1"/>
  <c r="AB21" i="1"/>
  <c r="AA22" i="1" s="1"/>
  <c r="D140" i="1"/>
  <c r="D100" i="6" s="1"/>
  <c r="L25" i="1"/>
  <c r="E100" i="6"/>
  <c r="C71" i="1"/>
  <c r="C105" i="1" s="1"/>
  <c r="C26" i="1"/>
  <c r="C104" i="1"/>
  <c r="R80" i="5" l="1"/>
  <c r="X80" i="5" s="1"/>
  <c r="AC80" i="5" s="1"/>
  <c r="Q81" i="5"/>
  <c r="AK79" i="5"/>
  <c r="AM79" i="5"/>
  <c r="AI79" i="5"/>
  <c r="P81" i="5"/>
  <c r="BZ24" i="1"/>
  <c r="BX25" i="1"/>
  <c r="BY25" i="1" s="1"/>
  <c r="BP21" i="1"/>
  <c r="BR21" i="1" s="1"/>
  <c r="BL21" i="1"/>
  <c r="BN21" i="1" s="1"/>
  <c r="BB21" i="1"/>
  <c r="BH21" i="1"/>
  <c r="BD21" i="1"/>
  <c r="C141" i="1"/>
  <c r="B101" i="6" s="1"/>
  <c r="AN22" i="1"/>
  <c r="AM23" i="1" s="1"/>
  <c r="V22" i="1"/>
  <c r="U23" i="1" s="1"/>
  <c r="D141" i="1"/>
  <c r="D101" i="6" s="1"/>
  <c r="L26" i="1"/>
  <c r="E101" i="6"/>
  <c r="C72" i="1"/>
  <c r="C27" i="1"/>
  <c r="R81" i="5" l="1"/>
  <c r="X81" i="5" s="1"/>
  <c r="AI80" i="5"/>
  <c r="AK80" i="5"/>
  <c r="AG80" i="5"/>
  <c r="AM80" i="5"/>
  <c r="BZ25" i="1"/>
  <c r="BX26" i="1"/>
  <c r="BY26" i="1" s="1"/>
  <c r="BL22" i="1"/>
  <c r="BN22" i="1" s="1"/>
  <c r="BJ21" i="1"/>
  <c r="BF21" i="1"/>
  <c r="AZ22" i="1"/>
  <c r="C142" i="1"/>
  <c r="B102" i="6" s="1"/>
  <c r="AB22" i="1"/>
  <c r="AA23" i="1" s="1"/>
  <c r="E102" i="6"/>
  <c r="D142" i="1"/>
  <c r="D102" i="6" s="1"/>
  <c r="U57" i="1"/>
  <c r="C73" i="1"/>
  <c r="C107" i="1" s="1"/>
  <c r="C28" i="1"/>
  <c r="L27" i="1"/>
  <c r="AH22" i="1"/>
  <c r="AG23" i="1" s="1"/>
  <c r="AU22" i="1"/>
  <c r="AT23" i="1" s="1"/>
  <c r="C106" i="1"/>
  <c r="AC81" i="5" l="1"/>
  <c r="AK81" i="5"/>
  <c r="AM81" i="5"/>
  <c r="AI81" i="5"/>
  <c r="BZ26" i="1"/>
  <c r="BX27" i="1"/>
  <c r="BY27" i="1" s="1"/>
  <c r="BP22" i="1"/>
  <c r="BR22" i="1" s="1"/>
  <c r="BB22" i="1"/>
  <c r="BD22" i="1"/>
  <c r="BH22" i="1"/>
  <c r="C143" i="1"/>
  <c r="B103" i="6" s="1"/>
  <c r="V23" i="1"/>
  <c r="U24" i="1" s="1"/>
  <c r="L28" i="1"/>
  <c r="E103" i="6"/>
  <c r="D143" i="1"/>
  <c r="D103" i="6" s="1"/>
  <c r="C74" i="1"/>
  <c r="C108" i="1" s="1"/>
  <c r="C29" i="1"/>
  <c r="BZ27" i="1" l="1"/>
  <c r="BX28" i="1"/>
  <c r="BY28" i="1" s="1"/>
  <c r="AZ23" i="1"/>
  <c r="BJ22" i="1"/>
  <c r="BF22" i="1"/>
  <c r="C144" i="1"/>
  <c r="B104" i="6" s="1"/>
  <c r="AU23" i="1"/>
  <c r="AT24" i="1" s="1"/>
  <c r="E104" i="6"/>
  <c r="D144" i="1"/>
  <c r="D104" i="6" s="1"/>
  <c r="L29" i="1"/>
  <c r="C75" i="1"/>
  <c r="C109" i="1" s="1"/>
  <c r="C30" i="1"/>
  <c r="AN23" i="1"/>
  <c r="AM24" i="1" s="1"/>
  <c r="AH23" i="1"/>
  <c r="AG24" i="1" s="1"/>
  <c r="AB23" i="1"/>
  <c r="AA24" i="1" s="1"/>
  <c r="BZ28" i="1" l="1"/>
  <c r="BX29" i="1"/>
  <c r="BY29" i="1" s="1"/>
  <c r="BL23" i="1"/>
  <c r="BD23" i="1"/>
  <c r="BF23" i="1" s="1"/>
  <c r="BP23" i="1"/>
  <c r="BH23" i="1"/>
  <c r="C145" i="1"/>
  <c r="B105" i="6" s="1"/>
  <c r="BB23" i="1"/>
  <c r="V24" i="1"/>
  <c r="U25" i="1" s="1"/>
  <c r="D145" i="1"/>
  <c r="D105" i="6" s="1"/>
  <c r="C31" i="1"/>
  <c r="C76" i="1"/>
  <c r="C110" i="1" s="1"/>
  <c r="L30" i="1"/>
  <c r="E105" i="6"/>
  <c r="BZ29" i="1" l="1"/>
  <c r="BX30" i="1"/>
  <c r="BY30" i="1" s="1"/>
  <c r="BJ23" i="1"/>
  <c r="AZ24" i="1"/>
  <c r="C146" i="1"/>
  <c r="B106" i="6" s="1"/>
  <c r="AN24" i="1"/>
  <c r="AM25" i="1" s="1"/>
  <c r="BN23" i="1"/>
  <c r="BR23" i="1"/>
  <c r="AB24" i="1"/>
  <c r="AA25" i="1" s="1"/>
  <c r="AH24" i="1"/>
  <c r="AG25" i="1" s="1"/>
  <c r="AU24" i="1"/>
  <c r="AT25" i="1" s="1"/>
  <c r="C32" i="1"/>
  <c r="L31" i="1"/>
  <c r="D146" i="1"/>
  <c r="D106" i="6" s="1"/>
  <c r="E106" i="6"/>
  <c r="C77" i="1"/>
  <c r="C111" i="1" s="1"/>
  <c r="BZ30" i="1" l="1"/>
  <c r="BX31" i="1"/>
  <c r="BY31" i="1" s="1"/>
  <c r="BP24" i="1"/>
  <c r="BR24" i="1" s="1"/>
  <c r="BD24" i="1"/>
  <c r="BF24" i="1" s="1"/>
  <c r="BB24" i="1"/>
  <c r="BH24" i="1"/>
  <c r="BL24" i="1"/>
  <c r="C147" i="1"/>
  <c r="B107" i="6" s="1"/>
  <c r="V25" i="1"/>
  <c r="U26" i="1" s="1"/>
  <c r="U58" i="1"/>
  <c r="L32" i="1"/>
  <c r="D147" i="1"/>
  <c r="D107" i="6" s="1"/>
  <c r="C78" i="1"/>
  <c r="C112" i="1" s="1"/>
  <c r="C33" i="1"/>
  <c r="E107" i="6"/>
  <c r="BZ31" i="1" l="1"/>
  <c r="BX32" i="1"/>
  <c r="BY32" i="1" s="1"/>
  <c r="BJ24" i="1"/>
  <c r="BN24" i="1"/>
  <c r="AZ25" i="1"/>
  <c r="C148" i="1"/>
  <c r="B108" i="6" s="1"/>
  <c r="AB25" i="1"/>
  <c r="AA26" i="1" s="1"/>
  <c r="AU25" i="1"/>
  <c r="AT26" i="1" s="1"/>
  <c r="AN25" i="1"/>
  <c r="AM26" i="1" s="1"/>
  <c r="AH25" i="1"/>
  <c r="AG26" i="1" s="1"/>
  <c r="C79" i="1"/>
  <c r="C113" i="1" s="1"/>
  <c r="E108" i="6"/>
  <c r="L33" i="1"/>
  <c r="D148" i="1"/>
  <c r="D108" i="6" s="1"/>
  <c r="C34" i="1"/>
  <c r="BZ32" i="1" l="1"/>
  <c r="BX33" i="1"/>
  <c r="BY33" i="1" s="1"/>
  <c r="BL25" i="1"/>
  <c r="BN25" i="1" s="1"/>
  <c r="BP25" i="1"/>
  <c r="BR25" i="1" s="1"/>
  <c r="BB25" i="1"/>
  <c r="BD25" i="1"/>
  <c r="BH25" i="1"/>
  <c r="BJ25" i="1" s="1"/>
  <c r="C149" i="1"/>
  <c r="B109" i="6" s="1"/>
  <c r="V26" i="1"/>
  <c r="U27" i="1" s="1"/>
  <c r="L34" i="1"/>
  <c r="C35" i="1"/>
  <c r="E109" i="6"/>
  <c r="C80" i="1"/>
  <c r="C114" i="1" s="1"/>
  <c r="D149" i="1"/>
  <c r="D109" i="6" s="1"/>
  <c r="BZ33" i="1" l="1"/>
  <c r="BX34" i="1"/>
  <c r="BY34" i="1" s="1"/>
  <c r="BF25" i="1"/>
  <c r="AZ26" i="1"/>
  <c r="C150" i="1"/>
  <c r="B110" i="6" s="1"/>
  <c r="AN26" i="1"/>
  <c r="AM27" i="1" s="1"/>
  <c r="AH26" i="1"/>
  <c r="AG27" i="1" s="1"/>
  <c r="L35" i="1"/>
  <c r="E110" i="6"/>
  <c r="C36" i="1"/>
  <c r="C81" i="1"/>
  <c r="C115" i="1" s="1"/>
  <c r="D150" i="1"/>
  <c r="D110" i="6" s="1"/>
  <c r="AU26" i="1"/>
  <c r="AT27" i="1" s="1"/>
  <c r="AB26" i="1"/>
  <c r="AA27" i="1" s="1"/>
  <c r="BZ34" i="1" l="1"/>
  <c r="BX35" i="1"/>
  <c r="BY35" i="1" s="1"/>
  <c r="BP26" i="1"/>
  <c r="BR26" i="1" s="1"/>
  <c r="BL26" i="1"/>
  <c r="BN26" i="1" s="1"/>
  <c r="BB26" i="1"/>
  <c r="BH26" i="1"/>
  <c r="BJ26" i="1" s="1"/>
  <c r="BD26" i="1"/>
  <c r="C151" i="1"/>
  <c r="B111" i="6" s="1"/>
  <c r="V27" i="1"/>
  <c r="U28" i="1" s="1"/>
  <c r="L36" i="1"/>
  <c r="C82" i="1"/>
  <c r="C116" i="1" s="1"/>
  <c r="D151" i="1"/>
  <c r="D111" i="6" s="1"/>
  <c r="C37" i="1"/>
  <c r="E111" i="6"/>
  <c r="BZ35" i="1" l="1"/>
  <c r="BX36" i="1"/>
  <c r="BY36" i="1" s="1"/>
  <c r="BF26" i="1"/>
  <c r="AZ27" i="1"/>
  <c r="C152" i="1"/>
  <c r="B112" i="6" s="1"/>
  <c r="AB27" i="1"/>
  <c r="AA28" i="1" s="1"/>
  <c r="AU27" i="1"/>
  <c r="AT28" i="1" s="1"/>
  <c r="AH27" i="1"/>
  <c r="AG28" i="1" s="1"/>
  <c r="AN27" i="1"/>
  <c r="AM28" i="1" s="1"/>
  <c r="L37" i="1"/>
  <c r="U59" i="1"/>
  <c r="D152" i="1"/>
  <c r="D112" i="6" s="1"/>
  <c r="E112" i="6"/>
  <c r="C83" i="1"/>
  <c r="C117" i="1" s="1"/>
  <c r="C38" i="1"/>
  <c r="BZ36" i="1" l="1"/>
  <c r="BX37" i="1"/>
  <c r="BY37" i="1" s="1"/>
  <c r="BL27" i="1"/>
  <c r="BN27" i="1" s="1"/>
  <c r="BP27" i="1"/>
  <c r="BR27" i="1" s="1"/>
  <c r="BB27" i="1"/>
  <c r="BD27" i="1"/>
  <c r="AH28" i="1"/>
  <c r="AG29" i="1" s="1"/>
  <c r="BH27" i="1"/>
  <c r="C153" i="1"/>
  <c r="B113" i="6" s="1"/>
  <c r="V28" i="1"/>
  <c r="U29" i="1" s="1"/>
  <c r="C84" i="1"/>
  <c r="C118" i="1" s="1"/>
  <c r="C39" i="1"/>
  <c r="E113" i="6"/>
  <c r="L38" i="1"/>
  <c r="D153" i="1"/>
  <c r="D113" i="6" s="1"/>
  <c r="BZ37" i="1" l="1"/>
  <c r="BX38" i="1"/>
  <c r="BY38" i="1" s="1"/>
  <c r="BJ27" i="1"/>
  <c r="BF27" i="1"/>
  <c r="BH28" i="1"/>
  <c r="AZ28" i="1"/>
  <c r="C154" i="1"/>
  <c r="B114" i="6" s="1"/>
  <c r="AN28" i="1"/>
  <c r="AM29" i="1" s="1"/>
  <c r="E114" i="6"/>
  <c r="C85" i="1"/>
  <c r="C119" i="1" s="1"/>
  <c r="D154" i="1"/>
  <c r="D114" i="6" s="1"/>
  <c r="L39" i="1"/>
  <c r="C40" i="1"/>
  <c r="AU28" i="1"/>
  <c r="AT29" i="1" s="1"/>
  <c r="AB28" i="1"/>
  <c r="AA29" i="1" s="1"/>
  <c r="BZ38" i="1" l="1"/>
  <c r="BX39" i="1"/>
  <c r="BY39" i="1" s="1"/>
  <c r="BP28" i="1"/>
  <c r="BR28" i="1" s="1"/>
  <c r="BL28" i="1"/>
  <c r="BN28" i="1" s="1"/>
  <c r="BJ28" i="1"/>
  <c r="BB28" i="1"/>
  <c r="BD28" i="1"/>
  <c r="C155" i="1"/>
  <c r="B115" i="6" s="1"/>
  <c r="D155" i="1"/>
  <c r="D115" i="6" s="1"/>
  <c r="C86" i="1"/>
  <c r="C120" i="1" s="1"/>
  <c r="C41" i="1"/>
  <c r="L40" i="1"/>
  <c r="E115" i="6"/>
  <c r="V29" i="1"/>
  <c r="U30" i="1" s="1"/>
  <c r="BZ39" i="1" l="1"/>
  <c r="BX40" i="1"/>
  <c r="BY40" i="1" s="1"/>
  <c r="BF28" i="1"/>
  <c r="AZ29" i="1"/>
  <c r="C156" i="1"/>
  <c r="B116" i="6" s="1"/>
  <c r="AB29" i="1"/>
  <c r="AA30" i="1" s="1"/>
  <c r="AH29" i="1"/>
  <c r="AG30" i="1" s="1"/>
  <c r="AN29" i="1"/>
  <c r="AM30" i="1" s="1"/>
  <c r="L41" i="1"/>
  <c r="D156" i="1"/>
  <c r="D116" i="6" s="1"/>
  <c r="C87" i="1"/>
  <c r="C121" i="1" s="1"/>
  <c r="E116" i="6"/>
  <c r="C42" i="1"/>
  <c r="AU29" i="1"/>
  <c r="AT30" i="1" s="1"/>
  <c r="BZ40" i="1" l="1"/>
  <c r="BX41" i="1"/>
  <c r="BY41" i="1" s="1"/>
  <c r="BP29" i="1"/>
  <c r="BR29" i="1" s="1"/>
  <c r="BL29" i="1"/>
  <c r="BN29" i="1" s="1"/>
  <c r="BD29" i="1"/>
  <c r="BF29" i="1" s="1"/>
  <c r="BB29" i="1"/>
  <c r="BH29" i="1"/>
  <c r="C157" i="1"/>
  <c r="B117" i="6" s="1"/>
  <c r="C88" i="1"/>
  <c r="C122" i="1" s="1"/>
  <c r="C43" i="1"/>
  <c r="D157" i="1"/>
  <c r="D117" i="6" s="1"/>
  <c r="U60" i="1"/>
  <c r="L42" i="1"/>
  <c r="E117" i="6"/>
  <c r="V30" i="1"/>
  <c r="U31" i="1" s="1"/>
  <c r="BZ41" i="1" l="1"/>
  <c r="BX42" i="1"/>
  <c r="BY42" i="1" s="1"/>
  <c r="AH30" i="1"/>
  <c r="AG31" i="1" s="1"/>
  <c r="BJ29" i="1"/>
  <c r="AZ30" i="1"/>
  <c r="C158" i="1"/>
  <c r="B118" i="6" s="1"/>
  <c r="AB30" i="1"/>
  <c r="AA31" i="1" s="1"/>
  <c r="AU30" i="1"/>
  <c r="AT31" i="1" s="1"/>
  <c r="AN30" i="1"/>
  <c r="AM31" i="1" s="1"/>
  <c r="C44" i="1"/>
  <c r="D158" i="1"/>
  <c r="D118" i="6" s="1"/>
  <c r="C89" i="1"/>
  <c r="C123" i="1" s="1"/>
  <c r="E118" i="6"/>
  <c r="L43" i="1"/>
  <c r="BZ42" i="1" l="1"/>
  <c r="BX43" i="1"/>
  <c r="BY43" i="1" s="1"/>
  <c r="AH31" i="1"/>
  <c r="AG32" i="1" s="1"/>
  <c r="BL30" i="1"/>
  <c r="BN30" i="1" s="1"/>
  <c r="BP30" i="1"/>
  <c r="BR30" i="1" s="1"/>
  <c r="BH30" i="1"/>
  <c r="BJ30" i="1" s="1"/>
  <c r="BB30" i="1"/>
  <c r="BD30" i="1"/>
  <c r="C159" i="1"/>
  <c r="B119" i="6" s="1"/>
  <c r="AN31" i="1"/>
  <c r="AM32" i="1" s="1"/>
  <c r="V31" i="1"/>
  <c r="U32" i="1" s="1"/>
  <c r="E119" i="6"/>
  <c r="C45" i="1"/>
  <c r="C90" i="1"/>
  <c r="C124" i="1" s="1"/>
  <c r="D159" i="1"/>
  <c r="D119" i="6" s="1"/>
  <c r="L44" i="1"/>
  <c r="BZ43" i="1" l="1"/>
  <c r="BX44" i="1"/>
  <c r="BY44" i="1" s="1"/>
  <c r="BL31" i="1"/>
  <c r="BN31" i="1" s="1"/>
  <c r="BF30" i="1"/>
  <c r="BH31" i="1"/>
  <c r="AZ31" i="1"/>
  <c r="BB31" i="1" s="1"/>
  <c r="AB31" i="1"/>
  <c r="AA32" i="1" s="1"/>
  <c r="C160" i="1"/>
  <c r="B120" i="6" s="1"/>
  <c r="AU31" i="1"/>
  <c r="AT32" i="1" s="1"/>
  <c r="L45" i="1"/>
  <c r="C91" i="1"/>
  <c r="C125" i="1" s="1"/>
  <c r="D160" i="1"/>
  <c r="D120" i="6" s="1"/>
  <c r="E120" i="6"/>
  <c r="C46" i="1"/>
  <c r="BZ44" i="1" l="1"/>
  <c r="BX45" i="1"/>
  <c r="BY45" i="1" s="1"/>
  <c r="BP31" i="1"/>
  <c r="BR31" i="1" s="1"/>
  <c r="BJ31" i="1"/>
  <c r="BD31" i="1"/>
  <c r="C161" i="1"/>
  <c r="B121" i="6" s="1"/>
  <c r="V32" i="1"/>
  <c r="U33" i="1" s="1"/>
  <c r="AH32" i="1"/>
  <c r="AG33" i="1" s="1"/>
  <c r="L46" i="1"/>
  <c r="C92" i="1"/>
  <c r="C126" i="1" s="1"/>
  <c r="C47" i="1"/>
  <c r="E121" i="6"/>
  <c r="D161" i="1"/>
  <c r="D121" i="6" s="1"/>
  <c r="BZ45" i="1" l="1"/>
  <c r="BX46" i="1"/>
  <c r="BY46" i="1" s="1"/>
  <c r="BF31" i="1"/>
  <c r="BH32" i="1"/>
  <c r="AZ32" i="1"/>
  <c r="AB32" i="1"/>
  <c r="AA33" i="1" s="1"/>
  <c r="C162" i="1"/>
  <c r="B122" i="6" s="1"/>
  <c r="AU32" i="1"/>
  <c r="AT33" i="1" s="1"/>
  <c r="D162" i="1"/>
  <c r="D122" i="6" s="1"/>
  <c r="C93" i="1"/>
  <c r="C127" i="1" s="1"/>
  <c r="L47" i="1"/>
  <c r="E122" i="6"/>
  <c r="U61" i="1"/>
  <c r="AN32" i="1"/>
  <c r="AM33" i="1" s="1"/>
  <c r="BZ46" i="1" l="1"/>
  <c r="BX47" i="1"/>
  <c r="BY47" i="1" s="1"/>
  <c r="BL32" i="1"/>
  <c r="BN32" i="1" s="1"/>
  <c r="BP32" i="1"/>
  <c r="BR32" i="1" s="1"/>
  <c r="AB33" i="1"/>
  <c r="AA34" i="1" s="1"/>
  <c r="BJ32" i="1"/>
  <c r="BB32" i="1"/>
  <c r="BD32" i="1"/>
  <c r="AN33" i="1"/>
  <c r="AM34" i="1" s="1"/>
  <c r="V33" i="1"/>
  <c r="U34" i="1" s="1"/>
  <c r="BZ47" i="1" l="1"/>
  <c r="BL33" i="1"/>
  <c r="BN33" i="1" s="1"/>
  <c r="BF32" i="1"/>
  <c r="AZ33" i="1"/>
  <c r="BD33" i="1"/>
  <c r="AU33" i="1"/>
  <c r="AT34" i="1" s="1"/>
  <c r="AH33" i="1"/>
  <c r="AG34" i="1" s="1"/>
  <c r="BP33" i="1" l="1"/>
  <c r="BR33" i="1" s="1"/>
  <c r="BB33" i="1"/>
  <c r="BF33" i="1"/>
  <c r="BH33" i="1"/>
  <c r="V34" i="1"/>
  <c r="U35" i="1" s="1"/>
  <c r="BJ33" i="1" l="1"/>
  <c r="AU34" i="1"/>
  <c r="AT35" i="1" s="1"/>
  <c r="AZ34" i="1"/>
  <c r="AH34" i="1"/>
  <c r="AG35" i="1" s="1"/>
  <c r="AB34" i="1"/>
  <c r="AA35" i="1" s="1"/>
  <c r="AN34" i="1"/>
  <c r="AM35" i="1" s="1"/>
  <c r="BL34" i="1" l="1"/>
  <c r="BN34" i="1" s="1"/>
  <c r="BP34" i="1"/>
  <c r="BR34" i="1" s="1"/>
  <c r="BB34" i="1"/>
  <c r="BD34" i="1"/>
  <c r="BH34" i="1"/>
  <c r="AN35" i="1"/>
  <c r="AM36" i="1" s="1"/>
  <c r="V35" i="1"/>
  <c r="U36" i="1" s="1"/>
  <c r="BL35" i="1" l="1"/>
  <c r="BN35" i="1" s="1"/>
  <c r="BJ34" i="1"/>
  <c r="BF34" i="1"/>
  <c r="AZ35" i="1"/>
  <c r="AB35" i="1"/>
  <c r="AA36" i="1" s="1"/>
  <c r="AH35" i="1"/>
  <c r="AG36" i="1" s="1"/>
  <c r="AU35" i="1"/>
  <c r="AT36" i="1" s="1"/>
  <c r="BP35" i="1" l="1"/>
  <c r="BR35" i="1" s="1"/>
  <c r="BB35" i="1"/>
  <c r="BH35" i="1"/>
  <c r="BD35" i="1"/>
  <c r="AN36" i="1"/>
  <c r="AM37" i="1" s="1"/>
  <c r="V36" i="1"/>
  <c r="U37" i="1" s="1"/>
  <c r="BL36" i="1" l="1"/>
  <c r="BN36" i="1" s="1"/>
  <c r="BJ35" i="1"/>
  <c r="BF35" i="1"/>
  <c r="AZ36" i="1"/>
  <c r="BB36" i="1" s="1"/>
  <c r="AU36" i="1"/>
  <c r="AT37" i="1" s="1"/>
  <c r="AH36" i="1"/>
  <c r="AG37" i="1" s="1"/>
  <c r="AB36" i="1"/>
  <c r="AA37" i="1" s="1"/>
  <c r="BP36" i="1" l="1"/>
  <c r="BR36" i="1" s="1"/>
  <c r="BD36" i="1"/>
  <c r="BH36" i="1"/>
  <c r="AN37" i="1"/>
  <c r="AM38" i="1" s="1"/>
  <c r="V37" i="1"/>
  <c r="U38" i="1" s="1"/>
  <c r="BL37" i="1" l="1"/>
  <c r="BN37" i="1" s="1"/>
  <c r="BJ36" i="1"/>
  <c r="BF36" i="1"/>
  <c r="AZ37" i="1"/>
  <c r="AU37" i="1"/>
  <c r="AT38" i="1" s="1"/>
  <c r="AH37" i="1"/>
  <c r="AG38" i="1" s="1"/>
  <c r="AB37" i="1"/>
  <c r="AA38" i="1" s="1"/>
  <c r="BP37" i="1" l="1"/>
  <c r="BR37" i="1" s="1"/>
  <c r="BB37" i="1"/>
  <c r="BD37" i="1"/>
  <c r="BH37" i="1"/>
  <c r="AN38" i="1"/>
  <c r="AM39" i="1" s="1"/>
  <c r="V38" i="1"/>
  <c r="U39" i="1" s="1"/>
  <c r="BL38" i="1" l="1"/>
  <c r="BN38" i="1" s="1"/>
  <c r="BJ37" i="1"/>
  <c r="BF37" i="1"/>
  <c r="AZ38" i="1"/>
  <c r="AB38" i="1"/>
  <c r="AA39" i="1" s="1"/>
  <c r="AU38" i="1"/>
  <c r="AT39" i="1" s="1"/>
  <c r="AH38" i="1"/>
  <c r="AG39" i="1" s="1"/>
  <c r="BP38" i="1" l="1"/>
  <c r="BR38" i="1" s="1"/>
  <c r="BB38" i="1"/>
  <c r="BH38" i="1"/>
  <c r="BD38" i="1"/>
  <c r="AN39" i="1"/>
  <c r="AM40" i="1" s="1"/>
  <c r="V39" i="1"/>
  <c r="U40" i="1" s="1"/>
  <c r="AZ39" i="1" l="1"/>
  <c r="BB39" i="1" s="1"/>
  <c r="BL39" i="1"/>
  <c r="BN39" i="1" s="1"/>
  <c r="BJ38" i="1"/>
  <c r="AH39" i="1"/>
  <c r="AG40" i="1" s="1"/>
  <c r="BF38" i="1"/>
  <c r="AU39" i="1"/>
  <c r="AT40" i="1" s="1"/>
  <c r="AB39" i="1"/>
  <c r="AA40" i="1" s="1"/>
  <c r="BH39" i="1" l="1"/>
  <c r="BJ39" i="1" s="1"/>
  <c r="BD39" i="1"/>
  <c r="BF39" i="1" s="1"/>
  <c r="BP39" i="1"/>
  <c r="BR39" i="1" s="1"/>
  <c r="V40" i="1"/>
  <c r="U41" i="1" s="1"/>
  <c r="AZ40" i="1" l="1"/>
  <c r="BB40" i="1" s="1"/>
  <c r="AB40" i="1"/>
  <c r="AA41" i="1" s="1"/>
  <c r="AU40" i="1"/>
  <c r="AT41" i="1" s="1"/>
  <c r="AH40" i="1"/>
  <c r="AG41" i="1" s="1"/>
  <c r="AN40" i="1"/>
  <c r="AM41" i="1" s="1"/>
  <c r="BP40" i="1" l="1"/>
  <c r="BR40" i="1" s="1"/>
  <c r="BD40" i="1"/>
  <c r="BF40" i="1" s="1"/>
  <c r="BL40" i="1"/>
  <c r="BN40" i="1" s="1"/>
  <c r="BH40" i="1"/>
  <c r="BJ40" i="1" s="1"/>
  <c r="AU41" i="1"/>
  <c r="AT42" i="1" s="1"/>
  <c r="V41" i="1"/>
  <c r="U42" i="1" s="1"/>
  <c r="BP41" i="1" l="1"/>
  <c r="BR41" i="1" s="1"/>
  <c r="AZ41" i="1"/>
  <c r="BB41" i="1" s="1"/>
  <c r="AH41" i="1"/>
  <c r="AG42" i="1" s="1"/>
  <c r="V42" i="1"/>
  <c r="U43" i="1" s="1"/>
  <c r="AN41" i="1"/>
  <c r="AM42" i="1" s="1"/>
  <c r="AB41" i="1"/>
  <c r="AA42" i="1" s="1"/>
  <c r="BH41" i="1" l="1"/>
  <c r="BJ41" i="1" s="1"/>
  <c r="BL41" i="1"/>
  <c r="BN41" i="1" s="1"/>
  <c r="BD41" i="1"/>
  <c r="BF41" i="1" s="1"/>
  <c r="AZ42" i="1"/>
  <c r="BB42" i="1" s="1"/>
  <c r="AU42" i="1"/>
  <c r="AT43" i="1" s="1"/>
  <c r="BP42" i="1" l="1"/>
  <c r="BR42" i="1" s="1"/>
  <c r="AH42" i="1"/>
  <c r="AG43" i="1" s="1"/>
  <c r="AB42" i="1"/>
  <c r="AA43" i="1" s="1"/>
  <c r="AN42" i="1"/>
  <c r="AM43" i="1" s="1"/>
  <c r="V43" i="1"/>
  <c r="U44" i="1" s="1"/>
  <c r="BL42" i="1" l="1"/>
  <c r="BN42" i="1" s="1"/>
  <c r="BH42" i="1"/>
  <c r="BJ42" i="1" s="1"/>
  <c r="AZ43" i="1"/>
  <c r="BB43" i="1" s="1"/>
  <c r="BD42" i="1"/>
  <c r="AU43" i="1"/>
  <c r="AT44" i="1" s="1"/>
  <c r="BP43" i="1" l="1"/>
  <c r="BR43" i="1" s="1"/>
  <c r="AH43" i="1"/>
  <c r="AG44" i="1" s="1"/>
  <c r="BF42" i="1"/>
  <c r="AB43" i="1"/>
  <c r="AA44" i="1" s="1"/>
  <c r="AN43" i="1"/>
  <c r="AM44" i="1" s="1"/>
  <c r="V44" i="1"/>
  <c r="U45" i="1" s="1"/>
  <c r="BL43" i="1" l="1"/>
  <c r="BN43" i="1" s="1"/>
  <c r="AZ44" i="1"/>
  <c r="BB44" i="1" s="1"/>
  <c r="BD43" i="1"/>
  <c r="BF43" i="1" s="1"/>
  <c r="BH43" i="1"/>
  <c r="BJ43" i="1" s="1"/>
  <c r="AN44" i="1"/>
  <c r="AM45" i="1" s="1"/>
  <c r="AH44" i="1"/>
  <c r="AG45" i="1" s="1"/>
  <c r="AU44" i="1"/>
  <c r="AT45" i="1" s="1"/>
  <c r="BL44" i="1" l="1"/>
  <c r="BN44" i="1" s="1"/>
  <c r="BP44" i="1"/>
  <c r="BR44" i="1" s="1"/>
  <c r="BH44" i="1"/>
  <c r="BJ44" i="1" s="1"/>
  <c r="AB44" i="1"/>
  <c r="AA45" i="1" s="1"/>
  <c r="AN45" i="1"/>
  <c r="AM46" i="1" s="1"/>
  <c r="V45" i="1"/>
  <c r="U46" i="1" s="1"/>
  <c r="BD44" i="1" l="1"/>
  <c r="BF44" i="1" s="1"/>
  <c r="AZ45" i="1"/>
  <c r="BB45" i="1" s="1"/>
  <c r="BL45" i="1"/>
  <c r="BN45" i="1" s="1"/>
  <c r="AH45" i="1"/>
  <c r="AG46" i="1" s="1"/>
  <c r="AU45" i="1"/>
  <c r="AT46" i="1" s="1"/>
  <c r="BH45" i="1" l="1"/>
  <c r="BJ45" i="1" s="1"/>
  <c r="BP45" i="1"/>
  <c r="BR45" i="1" s="1"/>
  <c r="AB45" i="1"/>
  <c r="AA46" i="1" s="1"/>
  <c r="V46" i="1"/>
  <c r="U47" i="1" s="1"/>
  <c r="AZ46" i="1" l="1"/>
  <c r="BB46" i="1" s="1"/>
  <c r="BD45" i="1"/>
  <c r="BF45" i="1" s="1"/>
  <c r="AB46" i="1"/>
  <c r="AA47" i="1" s="1"/>
  <c r="AH46" i="1"/>
  <c r="AG47" i="1" s="1"/>
  <c r="AU46" i="1"/>
  <c r="AT47" i="1" s="1"/>
  <c r="AN46" i="1"/>
  <c r="AM47" i="1" s="1"/>
  <c r="BP46" i="1" l="1"/>
  <c r="BR46" i="1" s="1"/>
  <c r="BD46" i="1"/>
  <c r="BF46" i="1" s="1"/>
  <c r="BH46" i="1"/>
  <c r="BJ46" i="1" s="1"/>
  <c r="BL46" i="1"/>
  <c r="BN46" i="1" s="1"/>
  <c r="AH47" i="1"/>
  <c r="V47" i="1"/>
  <c r="BH47" i="1" l="1"/>
  <c r="BJ47" i="1" s="1"/>
  <c r="AZ47" i="1"/>
  <c r="BB47" i="1" s="1"/>
  <c r="AU47" i="1"/>
  <c r="AN47" i="1"/>
  <c r="AB47" i="1"/>
  <c r="AH48" i="1"/>
  <c r="V48" i="1"/>
  <c r="BD47" i="1" l="1"/>
  <c r="BF47" i="1" s="1"/>
  <c r="BL47" i="1"/>
  <c r="BN47" i="1" s="1"/>
  <c r="BP47" i="1"/>
  <c r="BR47" i="1" s="1"/>
  <c r="AU48" i="1"/>
  <c r="AN48" i="1"/>
  <c r="AB48" i="1"/>
  <c r="H53" i="1" l="1"/>
  <c r="I53" i="1" s="1"/>
  <c r="H54" i="1" l="1"/>
  <c r="Q52" i="1"/>
  <c r="Q54" i="1"/>
  <c r="J98" i="1" l="1"/>
  <c r="M98" i="1" s="1"/>
  <c r="D64" i="1"/>
  <c r="F133" i="1"/>
  <c r="G93" i="6" s="1"/>
  <c r="AO18" i="1"/>
  <c r="AP18" i="1" s="1"/>
  <c r="AI18" i="1"/>
  <c r="AJ18" i="1" s="1"/>
  <c r="AV18" i="1"/>
  <c r="AW18" i="1" s="1"/>
  <c r="W18" i="1"/>
  <c r="X18" i="1" s="1"/>
  <c r="AC18" i="1"/>
  <c r="AD18" i="1" s="1"/>
  <c r="F19" i="1"/>
  <c r="BV19" i="1" l="1"/>
  <c r="H64" i="1"/>
  <c r="K64" i="1"/>
  <c r="I64" i="1"/>
  <c r="J64" i="1"/>
  <c r="G64" i="1"/>
  <c r="BW19" i="1" l="1"/>
  <c r="I19" i="1" s="1"/>
  <c r="D65" i="1" s="1"/>
  <c r="H19" i="1"/>
  <c r="F20" i="1" l="1"/>
  <c r="AO19" i="1"/>
  <c r="AP19" i="1" s="1"/>
  <c r="J65" i="1" s="1"/>
  <c r="AI19" i="1"/>
  <c r="AJ19" i="1" s="1"/>
  <c r="I65" i="1" s="1"/>
  <c r="AV19" i="1"/>
  <c r="I99" i="1" s="1"/>
  <c r="W19" i="1"/>
  <c r="X19" i="1" s="1"/>
  <c r="G65" i="1" s="1"/>
  <c r="AC19" i="1"/>
  <c r="AD19" i="1" s="1"/>
  <c r="H65" i="1" s="1"/>
  <c r="J99" i="1"/>
  <c r="M99" i="1" s="1"/>
  <c r="F134" i="1"/>
  <c r="G94" i="6" s="1"/>
  <c r="BV20" i="1"/>
  <c r="AW19" i="1" l="1"/>
  <c r="K65" i="1" s="1"/>
  <c r="G99" i="1"/>
  <c r="H99" i="1"/>
  <c r="E99" i="1"/>
  <c r="F99" i="1"/>
  <c r="BW20" i="1"/>
  <c r="I20" i="1" s="1"/>
  <c r="D66" i="1" s="1"/>
  <c r="H20" i="1"/>
  <c r="F21" i="1" l="1"/>
  <c r="AI20" i="1"/>
  <c r="G100" i="1" s="1"/>
  <c r="AV20" i="1"/>
  <c r="AW20" i="1" s="1"/>
  <c r="K66" i="1" s="1"/>
  <c r="AC20" i="1"/>
  <c r="F100" i="1" s="1"/>
  <c r="W20" i="1"/>
  <c r="E100" i="1" s="1"/>
  <c r="J100" i="1"/>
  <c r="M100" i="1" s="1"/>
  <c r="AO20" i="1"/>
  <c r="AP20" i="1" s="1"/>
  <c r="J66" i="1" s="1"/>
  <c r="F135" i="1"/>
  <c r="G95" i="6" s="1"/>
  <c r="BV21" i="1"/>
  <c r="H21" i="1" s="1"/>
  <c r="AJ20" i="1" l="1"/>
  <c r="I66" i="1" s="1"/>
  <c r="I100" i="1"/>
  <c r="X20" i="1"/>
  <c r="G66" i="1" s="1"/>
  <c r="AD20" i="1"/>
  <c r="H66" i="1" s="1"/>
  <c r="H100" i="1"/>
  <c r="BW21" i="1"/>
  <c r="I21" i="1" s="1"/>
  <c r="D67" i="1" l="1"/>
  <c r="G73" i="6"/>
  <c r="AC21" i="1"/>
  <c r="F101" i="1" s="1"/>
  <c r="W21" i="1"/>
  <c r="X21" i="1" s="1"/>
  <c r="G67" i="1" s="1"/>
  <c r="F22" i="1"/>
  <c r="BV22" i="1" s="1"/>
  <c r="AI21" i="1"/>
  <c r="AJ21" i="1" s="1"/>
  <c r="I67" i="1" s="1"/>
  <c r="AO21" i="1"/>
  <c r="AP21" i="1" s="1"/>
  <c r="J67" i="1" s="1"/>
  <c r="AV21" i="1"/>
  <c r="AW21" i="1" s="1"/>
  <c r="K67" i="1" s="1"/>
  <c r="J101" i="1"/>
  <c r="M101" i="1" s="1"/>
  <c r="H73" i="6" s="1"/>
  <c r="F136" i="1"/>
  <c r="G96" i="6" s="1"/>
  <c r="AD21" i="1" l="1"/>
  <c r="H67" i="1" s="1"/>
  <c r="E101" i="1"/>
  <c r="I101" i="1"/>
  <c r="G101" i="1"/>
  <c r="H101" i="1"/>
  <c r="BW22" i="1"/>
  <c r="I22" i="1" s="1"/>
  <c r="H22" i="1"/>
  <c r="D68" i="1" l="1"/>
  <c r="M29" i="6"/>
  <c r="AI22" i="1"/>
  <c r="AP56" i="1" s="1"/>
  <c r="BB56" i="1"/>
  <c r="AV22" i="1"/>
  <c r="AW22" i="1" s="1"/>
  <c r="K68" i="1" s="1"/>
  <c r="J102" i="1"/>
  <c r="M102" i="1" s="1"/>
  <c r="AC56" i="1"/>
  <c r="AI56" i="1"/>
  <c r="AO22" i="1"/>
  <c r="AP22" i="1" s="1"/>
  <c r="F23" i="1"/>
  <c r="BV23" i="1" s="1"/>
  <c r="AU56" i="1"/>
  <c r="W22" i="1"/>
  <c r="X22" i="1" s="1"/>
  <c r="G68" i="1" s="1"/>
  <c r="AO56" i="1"/>
  <c r="AC22" i="1"/>
  <c r="AJ56" i="1" s="1"/>
  <c r="F137" i="1"/>
  <c r="G97" i="6" s="1"/>
  <c r="AJ22" i="1" l="1"/>
  <c r="I68" i="1" s="1"/>
  <c r="G102" i="1"/>
  <c r="AD56" i="1"/>
  <c r="BC56" i="1"/>
  <c r="H102" i="1"/>
  <c r="AV56" i="1"/>
  <c r="E102" i="1"/>
  <c r="I102" i="1"/>
  <c r="AD22" i="1"/>
  <c r="AK56" i="1" s="1"/>
  <c r="F102" i="1"/>
  <c r="BW23" i="1"/>
  <c r="I23" i="1" s="1"/>
  <c r="H23" i="1"/>
  <c r="BD56" i="1"/>
  <c r="J68" i="1"/>
  <c r="AE56" i="1"/>
  <c r="AW56" i="1"/>
  <c r="J103" i="1" l="1"/>
  <c r="M103" i="1" s="1"/>
  <c r="AQ56" i="1"/>
  <c r="AV23" i="1"/>
  <c r="AW23" i="1" s="1"/>
  <c r="K69" i="1" s="1"/>
  <c r="H68" i="1"/>
  <c r="D69" i="1"/>
  <c r="AO23" i="1"/>
  <c r="AP23" i="1" s="1"/>
  <c r="J69" i="1" s="1"/>
  <c r="AC23" i="1"/>
  <c r="AD23" i="1" s="1"/>
  <c r="H69" i="1" s="1"/>
  <c r="W23" i="1"/>
  <c r="E103" i="1" s="1"/>
  <c r="F138" i="1"/>
  <c r="G98" i="6" s="1"/>
  <c r="F24" i="1"/>
  <c r="BV24" i="1" s="1"/>
  <c r="AI23" i="1"/>
  <c r="G103" i="1" s="1"/>
  <c r="I103" i="1" l="1"/>
  <c r="F103" i="1"/>
  <c r="X23" i="1"/>
  <c r="G69" i="1" s="1"/>
  <c r="H103" i="1"/>
  <c r="AJ23" i="1"/>
  <c r="I69" i="1" s="1"/>
  <c r="BW24" i="1"/>
  <c r="I24" i="1" s="1"/>
  <c r="D70" i="1" s="1"/>
  <c r="H24" i="1"/>
  <c r="F25" i="1" l="1"/>
  <c r="BV25" i="1" s="1"/>
  <c r="H25" i="1" s="1"/>
  <c r="AI24" i="1"/>
  <c r="AJ24" i="1" s="1"/>
  <c r="I70" i="1" s="1"/>
  <c r="W24" i="1"/>
  <c r="X24" i="1" s="1"/>
  <c r="G70" i="1" s="1"/>
  <c r="AC24" i="1"/>
  <c r="AD24" i="1" s="1"/>
  <c r="H70" i="1" s="1"/>
  <c r="AV24" i="1"/>
  <c r="I104" i="1" s="1"/>
  <c r="J104" i="1"/>
  <c r="M104" i="1" s="1"/>
  <c r="AO24" i="1"/>
  <c r="H104" i="1" s="1"/>
  <c r="F139" i="1"/>
  <c r="G99" i="6" s="1"/>
  <c r="G104" i="1" l="1"/>
  <c r="E104" i="1"/>
  <c r="AP24" i="1"/>
  <c r="J70" i="1" s="1"/>
  <c r="AW24" i="1"/>
  <c r="K70" i="1" s="1"/>
  <c r="BW25" i="1"/>
  <c r="I25" i="1" s="1"/>
  <c r="D71" i="1" s="1"/>
  <c r="F104" i="1"/>
  <c r="AO25" i="1" l="1"/>
  <c r="H105" i="1" s="1"/>
  <c r="AC25" i="1"/>
  <c r="AD25" i="1" s="1"/>
  <c r="H71" i="1" s="1"/>
  <c r="W25" i="1"/>
  <c r="X25" i="1" s="1"/>
  <c r="G71" i="1" s="1"/>
  <c r="F26" i="1"/>
  <c r="BV26" i="1" s="1"/>
  <c r="AI25" i="1"/>
  <c r="AJ25" i="1" s="1"/>
  <c r="I71" i="1" s="1"/>
  <c r="J105" i="1"/>
  <c r="M105" i="1" s="1"/>
  <c r="AV25" i="1"/>
  <c r="AW25" i="1" s="1"/>
  <c r="K71" i="1" s="1"/>
  <c r="F140" i="1"/>
  <c r="G100" i="6" s="1"/>
  <c r="AP25" i="1" l="1"/>
  <c r="J71" i="1" s="1"/>
  <c r="G105" i="1"/>
  <c r="F105" i="1"/>
  <c r="E105" i="1"/>
  <c r="I105" i="1"/>
  <c r="BW26" i="1"/>
  <c r="I26" i="1" s="1"/>
  <c r="H26" i="1"/>
  <c r="D72" i="1" l="1"/>
  <c r="G75" i="6"/>
  <c r="AI26" i="1"/>
  <c r="AJ26" i="1" s="1"/>
  <c r="I72" i="1" s="1"/>
  <c r="AV26" i="1"/>
  <c r="AW26" i="1" s="1"/>
  <c r="K72" i="1" s="1"/>
  <c r="J106" i="1"/>
  <c r="M106" i="1" s="1"/>
  <c r="H75" i="6" s="1"/>
  <c r="AC26" i="1"/>
  <c r="AD26" i="1" s="1"/>
  <c r="H72" i="1" s="1"/>
  <c r="F27" i="1"/>
  <c r="BV27" i="1" s="1"/>
  <c r="W26" i="1"/>
  <c r="X26" i="1" s="1"/>
  <c r="G72" i="1" s="1"/>
  <c r="AO26" i="1"/>
  <c r="H106" i="1" s="1"/>
  <c r="F141" i="1"/>
  <c r="G101" i="6" s="1"/>
  <c r="G106" i="1" l="1"/>
  <c r="F106" i="1"/>
  <c r="E106" i="1"/>
  <c r="I106" i="1"/>
  <c r="AP26" i="1"/>
  <c r="J72" i="1" s="1"/>
  <c r="BW27" i="1"/>
  <c r="I27" i="1" s="1"/>
  <c r="D73" i="1" s="1"/>
  <c r="H27" i="1"/>
  <c r="AO57" i="1" l="1"/>
  <c r="W27" i="1"/>
  <c r="X27" i="1" s="1"/>
  <c r="G73" i="1" s="1"/>
  <c r="BB57" i="1"/>
  <c r="AI57" i="1"/>
  <c r="AO27" i="1"/>
  <c r="H107" i="1" s="1"/>
  <c r="AC27" i="1"/>
  <c r="AJ57" i="1" s="1"/>
  <c r="AC57" i="1"/>
  <c r="AI27" i="1"/>
  <c r="AP57" i="1" s="1"/>
  <c r="J107" i="1"/>
  <c r="M107" i="1" s="1"/>
  <c r="F28" i="1"/>
  <c r="BV28" i="1" s="1"/>
  <c r="AU57" i="1"/>
  <c r="AV27" i="1"/>
  <c r="I107" i="1" s="1"/>
  <c r="F142" i="1"/>
  <c r="G102" i="6" s="1"/>
  <c r="AP27" i="1" l="1"/>
  <c r="AW57" i="1" s="1"/>
  <c r="AV57" i="1"/>
  <c r="E107" i="1"/>
  <c r="AD57" i="1"/>
  <c r="AD27" i="1"/>
  <c r="H73" i="1" s="1"/>
  <c r="F107" i="1"/>
  <c r="BC57" i="1"/>
  <c r="AJ27" i="1"/>
  <c r="AQ57" i="1" s="1"/>
  <c r="G107" i="1"/>
  <c r="AW27" i="1"/>
  <c r="BD57" i="1" s="1"/>
  <c r="BW28" i="1"/>
  <c r="I28" i="1" s="1"/>
  <c r="H28" i="1"/>
  <c r="AE57" i="1"/>
  <c r="D74" i="1" l="1"/>
  <c r="J73" i="1"/>
  <c r="AK57" i="1"/>
  <c r="I73" i="1"/>
  <c r="K73" i="1"/>
  <c r="AO28" i="1"/>
  <c r="AP28" i="1" s="1"/>
  <c r="J74" i="1" s="1"/>
  <c r="AC28" i="1"/>
  <c r="F108" i="1" s="1"/>
  <c r="F29" i="1"/>
  <c r="BV29" i="1" s="1"/>
  <c r="H29" i="1" s="1"/>
  <c r="W28" i="1"/>
  <c r="E108" i="1" s="1"/>
  <c r="J108" i="1"/>
  <c r="M108" i="1" s="1"/>
  <c r="AV28" i="1"/>
  <c r="I108" i="1" s="1"/>
  <c r="F143" i="1"/>
  <c r="G103" i="6" s="1"/>
  <c r="AI28" i="1"/>
  <c r="G108" i="1" s="1"/>
  <c r="X28" i="1" l="1"/>
  <c r="G74" i="1" s="1"/>
  <c r="AJ28" i="1"/>
  <c r="I74" i="1" s="1"/>
  <c r="H108" i="1"/>
  <c r="AD28" i="1"/>
  <c r="H74" i="1" s="1"/>
  <c r="AW28" i="1"/>
  <c r="K74" i="1" s="1"/>
  <c r="BW29" i="1"/>
  <c r="I29" i="1" s="1"/>
  <c r="D75" i="1" s="1"/>
  <c r="J109" i="1" l="1"/>
  <c r="M109" i="1" s="1"/>
  <c r="AI29" i="1"/>
  <c r="AJ29" i="1" s="1"/>
  <c r="I75" i="1" s="1"/>
  <c r="AV29" i="1"/>
  <c r="AW29" i="1" s="1"/>
  <c r="K75" i="1" s="1"/>
  <c r="F30" i="1"/>
  <c r="BV30" i="1" s="1"/>
  <c r="AC29" i="1"/>
  <c r="AD29" i="1" s="1"/>
  <c r="H75" i="1" s="1"/>
  <c r="AO29" i="1"/>
  <c r="AP29" i="1" s="1"/>
  <c r="J75" i="1" s="1"/>
  <c r="W29" i="1"/>
  <c r="X29" i="1" s="1"/>
  <c r="G75" i="1" s="1"/>
  <c r="F144" i="1"/>
  <c r="G104" i="6" s="1"/>
  <c r="G109" i="1" l="1"/>
  <c r="H109" i="1"/>
  <c r="I109" i="1"/>
  <c r="E109" i="1"/>
  <c r="F109" i="1"/>
  <c r="BW30" i="1"/>
  <c r="I30" i="1" s="1"/>
  <c r="D76" i="1" s="1"/>
  <c r="H30" i="1"/>
  <c r="AO30" i="1" l="1"/>
  <c r="H110" i="1" s="1"/>
  <c r="AC30" i="1"/>
  <c r="F110" i="1" s="1"/>
  <c r="AV30" i="1"/>
  <c r="AW30" i="1" s="1"/>
  <c r="K76" i="1" s="1"/>
  <c r="J110" i="1"/>
  <c r="M110" i="1" s="1"/>
  <c r="W30" i="1"/>
  <c r="E110" i="1" s="1"/>
  <c r="F145" i="1"/>
  <c r="G105" i="6" s="1"/>
  <c r="F31" i="1"/>
  <c r="BV31" i="1" s="1"/>
  <c r="AI30" i="1"/>
  <c r="G110" i="1" s="1"/>
  <c r="AP30" i="1" l="1"/>
  <c r="J76" i="1" s="1"/>
  <c r="X30" i="1"/>
  <c r="G76" i="1" s="1"/>
  <c r="I110" i="1"/>
  <c r="AD30" i="1"/>
  <c r="H76" i="1" s="1"/>
  <c r="AJ30" i="1"/>
  <c r="I76" i="1" s="1"/>
  <c r="BW31" i="1"/>
  <c r="I31" i="1" s="1"/>
  <c r="G77" i="6" s="1"/>
  <c r="H31" i="1"/>
  <c r="D77" i="1" l="1"/>
  <c r="AO31" i="1"/>
  <c r="H111" i="1" s="1"/>
  <c r="W31" i="1"/>
  <c r="E111" i="1" s="1"/>
  <c r="J111" i="1"/>
  <c r="M111" i="1" s="1"/>
  <c r="H77" i="6" s="1"/>
  <c r="F32" i="1"/>
  <c r="BV32" i="1" s="1"/>
  <c r="AC31" i="1"/>
  <c r="F111" i="1" s="1"/>
  <c r="AV31" i="1"/>
  <c r="I111" i="1" s="1"/>
  <c r="AI31" i="1"/>
  <c r="AJ31" i="1" s="1"/>
  <c r="I77" i="1" s="1"/>
  <c r="F146" i="1"/>
  <c r="G106" i="6" s="1"/>
  <c r="AP31" i="1" l="1"/>
  <c r="J77" i="1" s="1"/>
  <c r="AW31" i="1"/>
  <c r="K77" i="1" s="1"/>
  <c r="AD31" i="1"/>
  <c r="H77" i="1" s="1"/>
  <c r="X31" i="1"/>
  <c r="G77" i="1" s="1"/>
  <c r="G111" i="1"/>
  <c r="BW32" i="1"/>
  <c r="I32" i="1" s="1"/>
  <c r="D78" i="1" s="1"/>
  <c r="H32" i="1"/>
  <c r="F147" i="1" l="1"/>
  <c r="G107" i="6" s="1"/>
  <c r="F33" i="1"/>
  <c r="BV33" i="1" s="1"/>
  <c r="H33" i="1" s="1"/>
  <c r="AI32" i="1"/>
  <c r="AP58" i="1" s="1"/>
  <c r="AC58" i="1"/>
  <c r="W32" i="1"/>
  <c r="X32" i="1" s="1"/>
  <c r="G78" i="1" s="1"/>
  <c r="AO58" i="1"/>
  <c r="AI58" i="1"/>
  <c r="AU58" i="1"/>
  <c r="AO32" i="1"/>
  <c r="AV58" i="1" s="1"/>
  <c r="AC32" i="1"/>
  <c r="AJ58" i="1" s="1"/>
  <c r="BB58" i="1"/>
  <c r="AV32" i="1"/>
  <c r="BC58" i="1" s="1"/>
  <c r="J112" i="1"/>
  <c r="M112" i="1" s="1"/>
  <c r="AD32" i="1" l="1"/>
  <c r="AK58" i="1" s="1"/>
  <c r="E112" i="1"/>
  <c r="AD58" i="1"/>
  <c r="H112" i="1"/>
  <c r="AP32" i="1"/>
  <c r="J78" i="1" s="1"/>
  <c r="F112" i="1"/>
  <c r="AW32" i="1"/>
  <c r="K78" i="1" s="1"/>
  <c r="I112" i="1"/>
  <c r="G112" i="1"/>
  <c r="AJ32" i="1"/>
  <c r="I78" i="1" s="1"/>
  <c r="BW33" i="1"/>
  <c r="I33" i="1" s="1"/>
  <c r="D79" i="1" s="1"/>
  <c r="AE58" i="1"/>
  <c r="AW58" i="1" l="1"/>
  <c r="H78" i="1"/>
  <c r="BD58" i="1"/>
  <c r="AQ58" i="1"/>
  <c r="AI33" i="1"/>
  <c r="AJ33" i="1" s="1"/>
  <c r="I79" i="1" s="1"/>
  <c r="AC33" i="1"/>
  <c r="AD33" i="1" s="1"/>
  <c r="H79" i="1" s="1"/>
  <c r="J113" i="1"/>
  <c r="M113" i="1" s="1"/>
  <c r="W33" i="1"/>
  <c r="E113" i="1" s="1"/>
  <c r="F34" i="1"/>
  <c r="BV34" i="1" s="1"/>
  <c r="AO33" i="1"/>
  <c r="H113" i="1" s="1"/>
  <c r="F148" i="1"/>
  <c r="G108" i="6" s="1"/>
  <c r="AV33" i="1"/>
  <c r="I113" i="1" s="1"/>
  <c r="G113" i="1" l="1"/>
  <c r="F113" i="1"/>
  <c r="AP33" i="1"/>
  <c r="J79" i="1" s="1"/>
  <c r="AW33" i="1"/>
  <c r="K79" i="1" s="1"/>
  <c r="X33" i="1"/>
  <c r="G79" i="1" s="1"/>
  <c r="BW34" i="1"/>
  <c r="I34" i="1" s="1"/>
  <c r="D80" i="1" s="1"/>
  <c r="H34" i="1"/>
  <c r="F35" i="1" l="1"/>
  <c r="BV35" i="1" s="1"/>
  <c r="AO34" i="1"/>
  <c r="AP34" i="1" s="1"/>
  <c r="J80" i="1" s="1"/>
  <c r="AV34" i="1"/>
  <c r="AW34" i="1" s="1"/>
  <c r="K80" i="1" s="1"/>
  <c r="W34" i="1"/>
  <c r="E114" i="1" s="1"/>
  <c r="AI34" i="1"/>
  <c r="AJ34" i="1" s="1"/>
  <c r="I80" i="1" s="1"/>
  <c r="J114" i="1"/>
  <c r="M114" i="1" s="1"/>
  <c r="AC34" i="1"/>
  <c r="AD34" i="1" s="1"/>
  <c r="H80" i="1" s="1"/>
  <c r="F149" i="1"/>
  <c r="G109" i="6" s="1"/>
  <c r="H114" i="1" l="1"/>
  <c r="X34" i="1"/>
  <c r="G80" i="1" s="1"/>
  <c r="I114" i="1"/>
  <c r="G114" i="1"/>
  <c r="F114" i="1"/>
  <c r="BW35" i="1"/>
  <c r="I35" i="1" s="1"/>
  <c r="D81" i="1" s="1"/>
  <c r="H35" i="1"/>
  <c r="F36" i="1" l="1"/>
  <c r="W35" i="1"/>
  <c r="X35" i="1" s="1"/>
  <c r="G81" i="1" s="1"/>
  <c r="AI35" i="1"/>
  <c r="AJ35" i="1" s="1"/>
  <c r="I81" i="1" s="1"/>
  <c r="AO35" i="1"/>
  <c r="AP35" i="1" s="1"/>
  <c r="J81" i="1" s="1"/>
  <c r="AV35" i="1"/>
  <c r="I115" i="1" s="1"/>
  <c r="F150" i="1"/>
  <c r="G110" i="6" s="1"/>
  <c r="AC35" i="1"/>
  <c r="AD35" i="1" s="1"/>
  <c r="H81" i="1" s="1"/>
  <c r="J115" i="1"/>
  <c r="M115" i="1" s="1"/>
  <c r="BV36" i="1"/>
  <c r="AW35" i="1" l="1"/>
  <c r="K81" i="1" s="1"/>
  <c r="E115" i="1"/>
  <c r="F115" i="1"/>
  <c r="G115" i="1"/>
  <c r="H115" i="1"/>
  <c r="BW36" i="1"/>
  <c r="I36" i="1" s="1"/>
  <c r="G79" i="6" s="1"/>
  <c r="H36" i="1"/>
  <c r="D82" i="1" l="1"/>
  <c r="AI36" i="1"/>
  <c r="G116" i="1" s="1"/>
  <c r="AO36" i="1"/>
  <c r="AP36" i="1" s="1"/>
  <c r="J82" i="1" s="1"/>
  <c r="AC36" i="1"/>
  <c r="F116" i="1" s="1"/>
  <c r="J116" i="1"/>
  <c r="M116" i="1" s="1"/>
  <c r="H79" i="6" s="1"/>
  <c r="AV36" i="1"/>
  <c r="AW36" i="1" s="1"/>
  <c r="K82" i="1" s="1"/>
  <c r="F151" i="1"/>
  <c r="G111" i="6" s="1"/>
  <c r="F37" i="1"/>
  <c r="BV37" i="1" s="1"/>
  <c r="H37" i="1" s="1"/>
  <c r="W36" i="1"/>
  <c r="X36" i="1" s="1"/>
  <c r="G82" i="1" s="1"/>
  <c r="AJ36" i="1" l="1"/>
  <c r="I82" i="1" s="1"/>
  <c r="I116" i="1"/>
  <c r="H116" i="1"/>
  <c r="AD36" i="1"/>
  <c r="H82" i="1" s="1"/>
  <c r="E116" i="1"/>
  <c r="BW37" i="1"/>
  <c r="I37" i="1" s="1"/>
  <c r="D83" i="1" s="1"/>
  <c r="F38" i="1" l="1"/>
  <c r="BV38" i="1" s="1"/>
  <c r="H38" i="1" s="1"/>
  <c r="AU59" i="1"/>
  <c r="AV37" i="1"/>
  <c r="I117" i="1" s="1"/>
  <c r="F152" i="1"/>
  <c r="G112" i="6" s="1"/>
  <c r="AO59" i="1"/>
  <c r="AC59" i="1"/>
  <c r="W37" i="1"/>
  <c r="E117" i="1" s="1"/>
  <c r="BB59" i="1"/>
  <c r="AI37" i="1"/>
  <c r="AJ37" i="1" s="1"/>
  <c r="AO37" i="1"/>
  <c r="H117" i="1" s="1"/>
  <c r="AI59" i="1"/>
  <c r="AC37" i="1"/>
  <c r="AJ59" i="1" s="1"/>
  <c r="J117" i="1"/>
  <c r="M117" i="1" s="1"/>
  <c r="AP59" i="1" l="1"/>
  <c r="G117" i="1"/>
  <c r="AV59" i="1"/>
  <c r="AP37" i="1"/>
  <c r="AW59" i="1" s="1"/>
  <c r="BC59" i="1"/>
  <c r="F117" i="1"/>
  <c r="AD37" i="1"/>
  <c r="AK59" i="1" s="1"/>
  <c r="AW37" i="1"/>
  <c r="BD59" i="1" s="1"/>
  <c r="AD59" i="1"/>
  <c r="X37" i="1"/>
  <c r="G83" i="1" s="1"/>
  <c r="BW38" i="1"/>
  <c r="I38" i="1" s="1"/>
  <c r="D84" i="1" s="1"/>
  <c r="I83" i="1"/>
  <c r="AQ59" i="1"/>
  <c r="J83" i="1" l="1"/>
  <c r="AE59" i="1"/>
  <c r="F39" i="1"/>
  <c r="BV39" i="1" s="1"/>
  <c r="H39" i="1" s="1"/>
  <c r="AV38" i="1"/>
  <c r="I118" i="1" s="1"/>
  <c r="K83" i="1"/>
  <c r="H83" i="1"/>
  <c r="AO38" i="1"/>
  <c r="AP38" i="1" s="1"/>
  <c r="J84" i="1" s="1"/>
  <c r="J118" i="1"/>
  <c r="M118" i="1" s="1"/>
  <c r="W38" i="1"/>
  <c r="X38" i="1" s="1"/>
  <c r="G84" i="1" s="1"/>
  <c r="F153" i="1"/>
  <c r="G113" i="6" s="1"/>
  <c r="AI38" i="1"/>
  <c r="G118" i="1" s="1"/>
  <c r="AC38" i="1"/>
  <c r="F118" i="1" s="1"/>
  <c r="AW38" i="1" l="1"/>
  <c r="K84" i="1" s="1"/>
  <c r="AJ38" i="1"/>
  <c r="I84" i="1" s="1"/>
  <c r="H118" i="1"/>
  <c r="AD38" i="1"/>
  <c r="H84" i="1" s="1"/>
  <c r="E118" i="1"/>
  <c r="BW39" i="1"/>
  <c r="I39" i="1" s="1"/>
  <c r="D85" i="1" s="1"/>
  <c r="AO39" i="1" l="1"/>
  <c r="H119" i="1" s="1"/>
  <c r="AV39" i="1"/>
  <c r="I119" i="1" s="1"/>
  <c r="AI39" i="1"/>
  <c r="G119" i="1" s="1"/>
  <c r="AC39" i="1"/>
  <c r="F119" i="1" s="1"/>
  <c r="J119" i="1"/>
  <c r="M119" i="1" s="1"/>
  <c r="F40" i="1"/>
  <c r="BV40" i="1" s="1"/>
  <c r="W39" i="1"/>
  <c r="X39" i="1" s="1"/>
  <c r="G85" i="1" s="1"/>
  <c r="F154" i="1"/>
  <c r="G114" i="6" s="1"/>
  <c r="AP39" i="1" l="1"/>
  <c r="J85" i="1" s="1"/>
  <c r="E119" i="1"/>
  <c r="AW39" i="1"/>
  <c r="K85" i="1" s="1"/>
  <c r="AD39" i="1"/>
  <c r="H85" i="1" s="1"/>
  <c r="AJ39" i="1"/>
  <c r="I85" i="1" s="1"/>
  <c r="BW40" i="1"/>
  <c r="I40" i="1" s="1"/>
  <c r="H40" i="1"/>
  <c r="D86" i="1" l="1"/>
  <c r="G81" i="6"/>
  <c r="AV40" i="1"/>
  <c r="I120" i="1" s="1"/>
  <c r="AO40" i="1"/>
  <c r="H120" i="1" s="1"/>
  <c r="W40" i="1"/>
  <c r="E120" i="1" s="1"/>
  <c r="F41" i="1"/>
  <c r="BV41" i="1" s="1"/>
  <c r="J120" i="1"/>
  <c r="M120" i="1" s="1"/>
  <c r="H81" i="6" s="1"/>
  <c r="AC40" i="1"/>
  <c r="F120" i="1" s="1"/>
  <c r="AI40" i="1"/>
  <c r="AJ40" i="1" s="1"/>
  <c r="I86" i="1" s="1"/>
  <c r="F155" i="1"/>
  <c r="G115" i="6" s="1"/>
  <c r="X40" i="1" l="1"/>
  <c r="G86" i="1" s="1"/>
  <c r="AP40" i="1"/>
  <c r="J86" i="1" s="1"/>
  <c r="AW40" i="1"/>
  <c r="K86" i="1" s="1"/>
  <c r="AD40" i="1"/>
  <c r="H86" i="1" s="1"/>
  <c r="G120" i="1"/>
  <c r="BW41" i="1"/>
  <c r="I41" i="1" s="1"/>
  <c r="H41" i="1"/>
  <c r="D87" i="1" l="1"/>
  <c r="AO41" i="1"/>
  <c r="H121" i="1" s="1"/>
  <c r="AV41" i="1"/>
  <c r="I121" i="1" s="1"/>
  <c r="AI41" i="1"/>
  <c r="G121" i="1" s="1"/>
  <c r="J121" i="1"/>
  <c r="M121" i="1" s="1"/>
  <c r="AC41" i="1"/>
  <c r="F121" i="1" s="1"/>
  <c r="F156" i="1"/>
  <c r="G116" i="6" s="1"/>
  <c r="F42" i="1"/>
  <c r="BV42" i="1" s="1"/>
  <c r="W41" i="1"/>
  <c r="E121" i="1" s="1"/>
  <c r="AP41" i="1" l="1"/>
  <c r="J87" i="1" s="1"/>
  <c r="AD41" i="1"/>
  <c r="H87" i="1" s="1"/>
  <c r="AW41" i="1"/>
  <c r="K87" i="1" s="1"/>
  <c r="X41" i="1"/>
  <c r="G87" i="1" s="1"/>
  <c r="AJ41" i="1"/>
  <c r="I87" i="1" s="1"/>
  <c r="BW42" i="1"/>
  <c r="I42" i="1" s="1"/>
  <c r="D88" i="1" s="1"/>
  <c r="H42" i="1"/>
  <c r="BB60" i="1" l="1"/>
  <c r="AI42" i="1"/>
  <c r="AP60" i="1" s="1"/>
  <c r="W42" i="1"/>
  <c r="E122" i="1" s="1"/>
  <c r="AU60" i="1"/>
  <c r="AV42" i="1"/>
  <c r="BC60" i="1" s="1"/>
  <c r="J122" i="1"/>
  <c r="M122" i="1" s="1"/>
  <c r="F43" i="1"/>
  <c r="BV43" i="1" s="1"/>
  <c r="AC60" i="1"/>
  <c r="AO42" i="1"/>
  <c r="AV60" i="1" s="1"/>
  <c r="F157" i="1"/>
  <c r="G117" i="6" s="1"/>
  <c r="AO60" i="1"/>
  <c r="AI60" i="1"/>
  <c r="AC42" i="1"/>
  <c r="AJ60" i="1" s="1"/>
  <c r="AW42" i="1" l="1"/>
  <c r="K88" i="1" s="1"/>
  <c r="I122" i="1"/>
  <c r="AP42" i="1"/>
  <c r="AW60" i="1" s="1"/>
  <c r="H122" i="1"/>
  <c r="AJ42" i="1"/>
  <c r="I88" i="1" s="1"/>
  <c r="AD42" i="1"/>
  <c r="AK60" i="1" s="1"/>
  <c r="F122" i="1"/>
  <c r="X42" i="1"/>
  <c r="G88" i="1" s="1"/>
  <c r="AD60" i="1"/>
  <c r="G122" i="1"/>
  <c r="BW43" i="1"/>
  <c r="I43" i="1" s="1"/>
  <c r="D89" i="1" s="1"/>
  <c r="H43" i="1"/>
  <c r="BD60" i="1"/>
  <c r="J88" i="1" l="1"/>
  <c r="AQ60" i="1"/>
  <c r="H88" i="1"/>
  <c r="AE60" i="1"/>
  <c r="W43" i="1"/>
  <c r="X43" i="1" s="1"/>
  <c r="G89" i="1" s="1"/>
  <c r="F158" i="1"/>
  <c r="G118" i="6" s="1"/>
  <c r="AI43" i="1"/>
  <c r="AJ43" i="1" s="1"/>
  <c r="I89" i="1" s="1"/>
  <c r="F44" i="1"/>
  <c r="BV44" i="1" s="1"/>
  <c r="AC43" i="1"/>
  <c r="AD43" i="1" s="1"/>
  <c r="H89" i="1" s="1"/>
  <c r="AV43" i="1"/>
  <c r="AW43" i="1" s="1"/>
  <c r="K89" i="1" s="1"/>
  <c r="AO43" i="1"/>
  <c r="AP43" i="1" s="1"/>
  <c r="J89" i="1" s="1"/>
  <c r="J123" i="1"/>
  <c r="M123" i="1" s="1"/>
  <c r="E123" i="1" l="1"/>
  <c r="H123" i="1"/>
  <c r="G123" i="1"/>
  <c r="F123" i="1"/>
  <c r="I123" i="1"/>
  <c r="BW44" i="1"/>
  <c r="I44" i="1" s="1"/>
  <c r="D90" i="1" s="1"/>
  <c r="H44" i="1"/>
  <c r="AI44" i="1" l="1"/>
  <c r="AJ44" i="1" s="1"/>
  <c r="I90" i="1" s="1"/>
  <c r="W44" i="1"/>
  <c r="E124" i="1" s="1"/>
  <c r="AV44" i="1"/>
  <c r="I124" i="1" s="1"/>
  <c r="J124" i="1"/>
  <c r="M124" i="1" s="1"/>
  <c r="AC44" i="1"/>
  <c r="F124" i="1" s="1"/>
  <c r="F159" i="1"/>
  <c r="G119" i="6" s="1"/>
  <c r="F45" i="1"/>
  <c r="BV45" i="1" s="1"/>
  <c r="AO44" i="1"/>
  <c r="H124" i="1" s="1"/>
  <c r="G124" i="1" l="1"/>
  <c r="AD44" i="1"/>
  <c r="H90" i="1" s="1"/>
  <c r="AW44" i="1"/>
  <c r="K90" i="1" s="1"/>
  <c r="AP44" i="1"/>
  <c r="J90" i="1" s="1"/>
  <c r="X44" i="1"/>
  <c r="G90" i="1" s="1"/>
  <c r="BW45" i="1"/>
  <c r="I45" i="1" s="1"/>
  <c r="D91" i="1" s="1"/>
  <c r="H45" i="1"/>
  <c r="AC45" i="1" l="1"/>
  <c r="F125" i="1" s="1"/>
  <c r="AO45" i="1"/>
  <c r="AP45" i="1" s="1"/>
  <c r="J91" i="1" s="1"/>
  <c r="AI45" i="1"/>
  <c r="AJ45" i="1" s="1"/>
  <c r="I91" i="1" s="1"/>
  <c r="F46" i="1"/>
  <c r="BV46" i="1" s="1"/>
  <c r="H46" i="1" s="1"/>
  <c r="W45" i="1"/>
  <c r="E125" i="1" s="1"/>
  <c r="AV45" i="1"/>
  <c r="AW45" i="1" s="1"/>
  <c r="K91" i="1" s="1"/>
  <c r="J125" i="1"/>
  <c r="M125" i="1" s="1"/>
  <c r="F160" i="1"/>
  <c r="G120" i="6" s="1"/>
  <c r="AD45" i="1"/>
  <c r="H91" i="1" s="1"/>
  <c r="X45" i="1" l="1"/>
  <c r="G91" i="1" s="1"/>
  <c r="H125" i="1"/>
  <c r="G125" i="1"/>
  <c r="I125" i="1"/>
  <c r="BW46" i="1"/>
  <c r="I46" i="1" s="1"/>
  <c r="D92" i="1" s="1"/>
  <c r="AO46" i="1" l="1"/>
  <c r="H126" i="1" s="1"/>
  <c r="F47" i="1"/>
  <c r="BV47" i="1" s="1"/>
  <c r="AC46" i="1"/>
  <c r="F126" i="1" s="1"/>
  <c r="AI46" i="1"/>
  <c r="AJ46" i="1" s="1"/>
  <c r="I92" i="1" s="1"/>
  <c r="W46" i="1"/>
  <c r="E126" i="1" s="1"/>
  <c r="AV46" i="1"/>
  <c r="AW46" i="1" s="1"/>
  <c r="K92" i="1" s="1"/>
  <c r="J126" i="1"/>
  <c r="M126" i="1" s="1"/>
  <c r="F161" i="1"/>
  <c r="G121" i="6" s="1"/>
  <c r="X46" i="1" l="1"/>
  <c r="G92" i="1" s="1"/>
  <c r="AP46" i="1"/>
  <c r="J92" i="1" s="1"/>
  <c r="AD46" i="1"/>
  <c r="H92" i="1" s="1"/>
  <c r="H47" i="1"/>
  <c r="BW47" i="1"/>
  <c r="I47" i="1" s="1"/>
  <c r="I126" i="1"/>
  <c r="G126" i="1"/>
  <c r="AV47" i="1" l="1"/>
  <c r="AW47" i="1" s="1"/>
  <c r="I48" i="1"/>
  <c r="AO47" i="1"/>
  <c r="H127" i="1" s="1"/>
  <c r="AC47" i="1"/>
  <c r="AD47" i="1" s="1"/>
  <c r="H93" i="1" s="1"/>
  <c r="J127" i="1"/>
  <c r="M127" i="1" s="1"/>
  <c r="F48" i="1"/>
  <c r="AN49" i="1" s="1"/>
  <c r="AI47" i="1"/>
  <c r="G127" i="1" s="1"/>
  <c r="F162" i="1"/>
  <c r="G122" i="6" s="1"/>
  <c r="G126" i="6" s="1"/>
  <c r="W47" i="1"/>
  <c r="E127" i="1" s="1"/>
  <c r="D93" i="1"/>
  <c r="M41" i="6"/>
  <c r="I127" i="1" l="1"/>
  <c r="X48" i="1"/>
  <c r="AP48" i="1"/>
  <c r="V49" i="1"/>
  <c r="K93" i="1"/>
  <c r="AW48" i="1"/>
  <c r="AH49" i="1"/>
  <c r="AB49" i="1"/>
  <c r="AJ48" i="1"/>
  <c r="AU49" i="1"/>
  <c r="AD48" i="1"/>
  <c r="X47" i="1"/>
  <c r="G93" i="1" s="1"/>
  <c r="AP47" i="1"/>
  <c r="J93" i="1" s="1"/>
  <c r="AJ47" i="1"/>
  <c r="I93" i="1" s="1"/>
  <c r="F127" i="1"/>
  <c r="AM10" i="5"/>
  <c r="O19" i="1"/>
  <c r="N20" i="1" s="1"/>
  <c r="E64" i="1"/>
  <c r="Q18" i="1"/>
  <c r="BM19" i="1" l="1"/>
  <c r="BQ19" i="1"/>
  <c r="BI19" i="1"/>
  <c r="P19" i="1"/>
  <c r="BC19" i="1" s="1"/>
  <c r="BA19" i="1"/>
  <c r="BE19" i="1"/>
  <c r="D98" i="1"/>
  <c r="N98" i="1" s="1"/>
  <c r="K99" i="1"/>
  <c r="L99" i="1" s="1"/>
  <c r="G133" i="1"/>
  <c r="Q19" i="1"/>
  <c r="G134" i="1" s="1"/>
  <c r="H94" i="6" s="1"/>
  <c r="E134" i="1"/>
  <c r="E65" i="1"/>
  <c r="R18" i="1"/>
  <c r="O20" i="1"/>
  <c r="N21" i="1" s="1"/>
  <c r="BS19" i="1" l="1"/>
  <c r="BK19" i="1"/>
  <c r="BG19" i="1"/>
  <c r="BQ20" i="1"/>
  <c r="BM20" i="1"/>
  <c r="BI20" i="1"/>
  <c r="BO19" i="1"/>
  <c r="P20" i="1"/>
  <c r="BK20" i="1" s="1"/>
  <c r="BA20" i="1"/>
  <c r="BE20" i="1"/>
  <c r="I133" i="1"/>
  <c r="J93" i="6" s="1"/>
  <c r="E135" i="1"/>
  <c r="F95" i="6" s="1"/>
  <c r="K100" i="1"/>
  <c r="L100" i="1" s="1"/>
  <c r="D99" i="1"/>
  <c r="N99" i="1" s="1"/>
  <c r="H134" i="1"/>
  <c r="I94" i="6" s="1"/>
  <c r="F94" i="6"/>
  <c r="H133" i="1"/>
  <c r="I93" i="6" s="1"/>
  <c r="K93" i="6" s="1"/>
  <c r="H93" i="6"/>
  <c r="R19" i="1"/>
  <c r="I134" i="1" s="1"/>
  <c r="J94" i="6" s="1"/>
  <c r="F64" i="1"/>
  <c r="O21" i="1"/>
  <c r="E66" i="1"/>
  <c r="Q20" i="1"/>
  <c r="D100" i="1" s="1"/>
  <c r="N22" i="1" l="1"/>
  <c r="O22" i="1" s="1"/>
  <c r="N23" i="1" s="1"/>
  <c r="D73" i="6"/>
  <c r="K94" i="6"/>
  <c r="N100" i="1"/>
  <c r="BO20" i="1"/>
  <c r="BC20" i="1"/>
  <c r="BS20" i="1"/>
  <c r="BG20" i="1"/>
  <c r="BQ21" i="1"/>
  <c r="BM21" i="1"/>
  <c r="BI21" i="1"/>
  <c r="P21" i="1"/>
  <c r="BA21" i="1"/>
  <c r="BE21" i="1"/>
  <c r="E136" i="1"/>
  <c r="F96" i="6" s="1"/>
  <c r="K101" i="1"/>
  <c r="L101" i="1" s="1"/>
  <c r="G135" i="1"/>
  <c r="E67" i="1"/>
  <c r="Q21" i="1"/>
  <c r="F65" i="1"/>
  <c r="R20" i="1"/>
  <c r="I135" i="1" s="1"/>
  <c r="J95" i="6" s="1"/>
  <c r="D101" i="1" l="1"/>
  <c r="J73" i="6"/>
  <c r="BO21" i="1"/>
  <c r="E73" i="6"/>
  <c r="N101" i="1"/>
  <c r="BK21" i="1"/>
  <c r="BS21" i="1"/>
  <c r="BG21" i="1"/>
  <c r="BC21" i="1"/>
  <c r="BM22" i="1"/>
  <c r="BQ22" i="1"/>
  <c r="BI22" i="1"/>
  <c r="P22" i="1"/>
  <c r="BO22" i="1" s="1"/>
  <c r="BA22" i="1"/>
  <c r="BE22" i="1"/>
  <c r="E137" i="1"/>
  <c r="F97" i="6" s="1"/>
  <c r="K102" i="1"/>
  <c r="L102" i="1" s="1"/>
  <c r="H135" i="1"/>
  <c r="I95" i="6" s="1"/>
  <c r="K95" i="6" s="1"/>
  <c r="H95" i="6"/>
  <c r="G136" i="1"/>
  <c r="E68" i="1"/>
  <c r="M25" i="6" s="1"/>
  <c r="V56" i="1"/>
  <c r="O23" i="1"/>
  <c r="Q22" i="1"/>
  <c r="D102" i="1" s="1"/>
  <c r="M33" i="6" s="1"/>
  <c r="R21" i="1"/>
  <c r="F66" i="1"/>
  <c r="I136" i="1" l="1"/>
  <c r="J96" i="6" s="1"/>
  <c r="K73" i="6"/>
  <c r="N24" i="1"/>
  <c r="O24" i="1" s="1"/>
  <c r="N25" i="1" s="1"/>
  <c r="N102" i="1"/>
  <c r="M34" i="6" s="1"/>
  <c r="BS22" i="1"/>
  <c r="BC22" i="1"/>
  <c r="BG22" i="1"/>
  <c r="BM23" i="1"/>
  <c r="BQ23" i="1"/>
  <c r="BI23" i="1"/>
  <c r="BK22" i="1"/>
  <c r="BA23" i="1"/>
  <c r="BE23" i="1"/>
  <c r="P23" i="1"/>
  <c r="E138" i="1"/>
  <c r="F98" i="6" s="1"/>
  <c r="K103" i="1"/>
  <c r="L103" i="1" s="1"/>
  <c r="H136" i="1"/>
  <c r="I96" i="6" s="1"/>
  <c r="K96" i="6" s="1"/>
  <c r="H96" i="6"/>
  <c r="X56" i="1"/>
  <c r="G137" i="1"/>
  <c r="E69" i="1"/>
  <c r="Q23" i="1"/>
  <c r="F67" i="1"/>
  <c r="R22" i="1"/>
  <c r="I137" i="1" s="1"/>
  <c r="J97" i="6" s="1"/>
  <c r="BQ24" i="1" l="1"/>
  <c r="BI24" i="1"/>
  <c r="BM24" i="1"/>
  <c r="P24" i="1"/>
  <c r="BG24" i="1" s="1"/>
  <c r="BE24" i="1"/>
  <c r="BA24" i="1"/>
  <c r="BK23" i="1"/>
  <c r="BG23" i="1"/>
  <c r="BC23" i="1"/>
  <c r="BO23" i="1"/>
  <c r="BS23" i="1"/>
  <c r="D103" i="1"/>
  <c r="N103" i="1" s="1"/>
  <c r="E139" i="1"/>
  <c r="F99" i="6" s="1"/>
  <c r="K104" i="1"/>
  <c r="L104" i="1" s="1"/>
  <c r="H137" i="1"/>
  <c r="I97" i="6" s="1"/>
  <c r="K97" i="6" s="1"/>
  <c r="H97" i="6"/>
  <c r="G138" i="1"/>
  <c r="Q24" i="1"/>
  <c r="G139" i="1" s="1"/>
  <c r="O25" i="1"/>
  <c r="N26" i="1" s="1"/>
  <c r="E70" i="1"/>
  <c r="F68" i="1"/>
  <c r="M36" i="6" s="1"/>
  <c r="Y56" i="1"/>
  <c r="R23" i="1"/>
  <c r="BO24" i="1" l="1"/>
  <c r="BS24" i="1"/>
  <c r="BC24" i="1"/>
  <c r="BM25" i="1"/>
  <c r="BQ25" i="1"/>
  <c r="BI25" i="1"/>
  <c r="BK24" i="1"/>
  <c r="P25" i="1"/>
  <c r="BS25" i="1" s="1"/>
  <c r="BA25" i="1"/>
  <c r="BE25" i="1"/>
  <c r="I138" i="1"/>
  <c r="J98" i="6" s="1"/>
  <c r="E140" i="1"/>
  <c r="F100" i="6" s="1"/>
  <c r="K105" i="1"/>
  <c r="L105" i="1" s="1"/>
  <c r="D104" i="1"/>
  <c r="N104" i="1" s="1"/>
  <c r="H138" i="1"/>
  <c r="I98" i="6" s="1"/>
  <c r="K98" i="6" s="1"/>
  <c r="H98" i="6"/>
  <c r="H139" i="1"/>
  <c r="I99" i="6" s="1"/>
  <c r="K99" i="6" s="1"/>
  <c r="H99" i="6"/>
  <c r="E71" i="1"/>
  <c r="Q25" i="1"/>
  <c r="D105" i="1" s="1"/>
  <c r="O26" i="1"/>
  <c r="F69" i="1"/>
  <c r="R24" i="1"/>
  <c r="I139" i="1" s="1"/>
  <c r="J99" i="6" s="1"/>
  <c r="N27" i="1" l="1"/>
  <c r="D75" i="6"/>
  <c r="N105" i="1"/>
  <c r="BK25" i="1"/>
  <c r="BO25" i="1"/>
  <c r="BG25" i="1"/>
  <c r="BC25" i="1"/>
  <c r="BQ26" i="1"/>
  <c r="BM26" i="1"/>
  <c r="BI26" i="1"/>
  <c r="P26" i="1"/>
  <c r="BA26" i="1"/>
  <c r="BE26" i="1"/>
  <c r="E141" i="1"/>
  <c r="F101" i="6" s="1"/>
  <c r="K106" i="1"/>
  <c r="L106" i="1" s="1"/>
  <c r="G140" i="1"/>
  <c r="R25" i="1"/>
  <c r="I140" i="1" s="1"/>
  <c r="J100" i="6" s="1"/>
  <c r="F70" i="1"/>
  <c r="E72" i="1"/>
  <c r="O27" i="1"/>
  <c r="N28" i="1" s="1"/>
  <c r="Q26" i="1"/>
  <c r="D106" i="1" l="1"/>
  <c r="J75" i="6"/>
  <c r="BK26" i="1"/>
  <c r="E75" i="6"/>
  <c r="N106" i="1"/>
  <c r="BS26" i="1"/>
  <c r="BO26" i="1"/>
  <c r="BG26" i="1"/>
  <c r="BC26" i="1"/>
  <c r="BQ27" i="1"/>
  <c r="BM27" i="1"/>
  <c r="BI27" i="1"/>
  <c r="P27" i="1"/>
  <c r="BC27" i="1" s="1"/>
  <c r="BA27" i="1"/>
  <c r="BE27" i="1"/>
  <c r="E142" i="1"/>
  <c r="F102" i="6" s="1"/>
  <c r="K107" i="1"/>
  <c r="L107" i="1" s="1"/>
  <c r="H140" i="1"/>
  <c r="I100" i="6" s="1"/>
  <c r="K100" i="6" s="1"/>
  <c r="H100" i="6"/>
  <c r="G141" i="1"/>
  <c r="O28" i="1"/>
  <c r="Q27" i="1"/>
  <c r="D107" i="1" s="1"/>
  <c r="V57" i="1"/>
  <c r="E73" i="1"/>
  <c r="F71" i="1"/>
  <c r="R26" i="1"/>
  <c r="I141" i="1" l="1"/>
  <c r="J101" i="6" s="1"/>
  <c r="K75" i="6"/>
  <c r="N29" i="1"/>
  <c r="N107" i="1"/>
  <c r="BK27" i="1"/>
  <c r="BG27" i="1"/>
  <c r="BQ28" i="1"/>
  <c r="BM28" i="1"/>
  <c r="BI28" i="1"/>
  <c r="BS27" i="1"/>
  <c r="BO27" i="1"/>
  <c r="BA28" i="1"/>
  <c r="BE28" i="1"/>
  <c r="P28" i="1"/>
  <c r="E143" i="1"/>
  <c r="F103" i="6" s="1"/>
  <c r="K108" i="1"/>
  <c r="L108" i="1" s="1"/>
  <c r="H141" i="1"/>
  <c r="I101" i="6" s="1"/>
  <c r="K101" i="6" s="1"/>
  <c r="H101" i="6"/>
  <c r="X57" i="1"/>
  <c r="G142" i="1"/>
  <c r="E74" i="1"/>
  <c r="Q28" i="1"/>
  <c r="O29" i="1"/>
  <c r="N30" i="1" s="1"/>
  <c r="R27" i="1"/>
  <c r="I142" i="1" s="1"/>
  <c r="J102" i="6" s="1"/>
  <c r="F72" i="1"/>
  <c r="BQ29" i="1" l="1"/>
  <c r="BM29" i="1"/>
  <c r="BI29" i="1"/>
  <c r="P29" i="1"/>
  <c r="BK29" i="1" s="1"/>
  <c r="BA29" i="1"/>
  <c r="BE29" i="1"/>
  <c r="BC28" i="1"/>
  <c r="BK28" i="1"/>
  <c r="BG28" i="1"/>
  <c r="BO28" i="1"/>
  <c r="BS28" i="1"/>
  <c r="D108" i="1"/>
  <c r="N108" i="1" s="1"/>
  <c r="E144" i="1"/>
  <c r="F104" i="6" s="1"/>
  <c r="K109" i="1"/>
  <c r="L109" i="1" s="1"/>
  <c r="H142" i="1"/>
  <c r="I102" i="6" s="1"/>
  <c r="K102" i="6" s="1"/>
  <c r="H102" i="6"/>
  <c r="G143" i="1"/>
  <c r="O30" i="1"/>
  <c r="N31" i="1" s="1"/>
  <c r="E75" i="1"/>
  <c r="Q29" i="1"/>
  <c r="D109" i="1" s="1"/>
  <c r="F73" i="1"/>
  <c r="Y57" i="1"/>
  <c r="R28" i="1"/>
  <c r="N109" i="1" l="1"/>
  <c r="BS29" i="1"/>
  <c r="BC29" i="1"/>
  <c r="BG29" i="1"/>
  <c r="BO29" i="1"/>
  <c r="BI30" i="1"/>
  <c r="BM30" i="1"/>
  <c r="BQ30" i="1"/>
  <c r="P30" i="1"/>
  <c r="BG30" i="1" s="1"/>
  <c r="BA30" i="1"/>
  <c r="BE30" i="1"/>
  <c r="I143" i="1"/>
  <c r="J103" i="6" s="1"/>
  <c r="E145" i="1"/>
  <c r="F105" i="6" s="1"/>
  <c r="K110" i="1"/>
  <c r="L110" i="1" s="1"/>
  <c r="H143" i="1"/>
  <c r="I103" i="6" s="1"/>
  <c r="K103" i="6" s="1"/>
  <c r="H103" i="6"/>
  <c r="G144" i="1"/>
  <c r="Q30" i="1"/>
  <c r="D110" i="1" s="1"/>
  <c r="O31" i="1"/>
  <c r="D77" i="6" s="1"/>
  <c r="E76" i="1"/>
  <c r="F74" i="1"/>
  <c r="R29" i="1"/>
  <c r="I144" i="1" s="1"/>
  <c r="J104" i="6" s="1"/>
  <c r="N32" i="1" l="1"/>
  <c r="O32" i="1" s="1"/>
  <c r="N33" i="1" s="1"/>
  <c r="N110" i="1"/>
  <c r="BC30" i="1"/>
  <c r="BO30" i="1"/>
  <c r="BK30" i="1"/>
  <c r="BM31" i="1"/>
  <c r="BQ31" i="1"/>
  <c r="BI31" i="1"/>
  <c r="BS30" i="1"/>
  <c r="P31" i="1"/>
  <c r="E77" i="6" s="1"/>
  <c r="BA31" i="1"/>
  <c r="BE31" i="1"/>
  <c r="E146" i="1"/>
  <c r="F106" i="6" s="1"/>
  <c r="K111" i="1"/>
  <c r="L111" i="1" s="1"/>
  <c r="H144" i="1"/>
  <c r="I104" i="6" s="1"/>
  <c r="K104" i="6" s="1"/>
  <c r="H104" i="6"/>
  <c r="G145" i="1"/>
  <c r="F75" i="1"/>
  <c r="R30" i="1"/>
  <c r="I145" i="1" s="1"/>
  <c r="J105" i="6" s="1"/>
  <c r="E77" i="1"/>
  <c r="Q31" i="1"/>
  <c r="J77" i="6" s="1"/>
  <c r="D111" i="1" l="1"/>
  <c r="N111" i="1" s="1"/>
  <c r="BG31" i="1"/>
  <c r="BC31" i="1"/>
  <c r="BK31" i="1"/>
  <c r="BS31" i="1"/>
  <c r="BO31" i="1"/>
  <c r="BI32" i="1"/>
  <c r="BM32" i="1"/>
  <c r="BQ32" i="1"/>
  <c r="P32" i="1"/>
  <c r="BG32" i="1" s="1"/>
  <c r="BA32" i="1"/>
  <c r="BE32" i="1"/>
  <c r="E147" i="1"/>
  <c r="F107" i="6" s="1"/>
  <c r="K112" i="1"/>
  <c r="L112" i="1" s="1"/>
  <c r="H145" i="1"/>
  <c r="I105" i="6" s="1"/>
  <c r="K105" i="6" s="1"/>
  <c r="H105" i="6"/>
  <c r="G146" i="1"/>
  <c r="E78" i="1"/>
  <c r="O33" i="1"/>
  <c r="V58" i="1"/>
  <c r="Q32" i="1"/>
  <c r="D112" i="1" s="1"/>
  <c r="F76" i="1"/>
  <c r="R31" i="1"/>
  <c r="K77" i="6" s="1"/>
  <c r="I146" i="1" l="1"/>
  <c r="J106" i="6" s="1"/>
  <c r="N34" i="1"/>
  <c r="O34" i="1" s="1"/>
  <c r="N35" i="1" s="1"/>
  <c r="N112" i="1"/>
  <c r="BC32" i="1"/>
  <c r="BM33" i="1"/>
  <c r="BQ33" i="1"/>
  <c r="BI33" i="1"/>
  <c r="BK32" i="1"/>
  <c r="BS32" i="1"/>
  <c r="BO32" i="1"/>
  <c r="BE33" i="1"/>
  <c r="BA33" i="1"/>
  <c r="P33" i="1"/>
  <c r="E148" i="1"/>
  <c r="F108" i="6" s="1"/>
  <c r="K113" i="1"/>
  <c r="L113" i="1" s="1"/>
  <c r="H146" i="1"/>
  <c r="I106" i="6" s="1"/>
  <c r="K106" i="6" s="1"/>
  <c r="H106" i="6"/>
  <c r="X58" i="1"/>
  <c r="G147" i="1"/>
  <c r="E79" i="1"/>
  <c r="Q33" i="1"/>
  <c r="F77" i="1"/>
  <c r="R32" i="1"/>
  <c r="I147" i="1" s="1"/>
  <c r="J107" i="6" s="1"/>
  <c r="BQ34" i="1" l="1"/>
  <c r="BM34" i="1"/>
  <c r="BI34" i="1"/>
  <c r="P34" i="1"/>
  <c r="BK34" i="1" s="1"/>
  <c r="BA34" i="1"/>
  <c r="BE34" i="1"/>
  <c r="BC33" i="1"/>
  <c r="BS33" i="1"/>
  <c r="BG33" i="1"/>
  <c r="BO33" i="1"/>
  <c r="BK33" i="1"/>
  <c r="D113" i="1"/>
  <c r="N113" i="1" s="1"/>
  <c r="E149" i="1"/>
  <c r="F109" i="6" s="1"/>
  <c r="K114" i="1"/>
  <c r="L114" i="1" s="1"/>
  <c r="H147" i="1"/>
  <c r="I107" i="6" s="1"/>
  <c r="K107" i="6" s="1"/>
  <c r="H107" i="6"/>
  <c r="G148" i="1"/>
  <c r="O35" i="1"/>
  <c r="N36" i="1" s="1"/>
  <c r="Q34" i="1"/>
  <c r="D114" i="1" s="1"/>
  <c r="E80" i="1"/>
  <c r="F78" i="1"/>
  <c r="R33" i="1"/>
  <c r="Y58" i="1"/>
  <c r="N114" i="1" l="1"/>
  <c r="BG34" i="1"/>
  <c r="BS34" i="1"/>
  <c r="BC34" i="1"/>
  <c r="BO34" i="1"/>
  <c r="BM35" i="1"/>
  <c r="BQ35" i="1"/>
  <c r="BI35" i="1"/>
  <c r="P35" i="1"/>
  <c r="BG35" i="1" s="1"/>
  <c r="BA35" i="1"/>
  <c r="BE35" i="1"/>
  <c r="I148" i="1"/>
  <c r="J108" i="6" s="1"/>
  <c r="E150" i="1"/>
  <c r="F110" i="6" s="1"/>
  <c r="K115" i="1"/>
  <c r="L115" i="1" s="1"/>
  <c r="H148" i="1"/>
  <c r="I108" i="6" s="1"/>
  <c r="K108" i="6" s="1"/>
  <c r="H108" i="6"/>
  <c r="G149" i="1"/>
  <c r="F79" i="1"/>
  <c r="R34" i="1"/>
  <c r="I149" i="1" s="1"/>
  <c r="J109" i="6" s="1"/>
  <c r="E81" i="1"/>
  <c r="Q35" i="1"/>
  <c r="D115" i="1" s="1"/>
  <c r="O36" i="1"/>
  <c r="D79" i="6" s="1"/>
  <c r="N37" i="1" l="1"/>
  <c r="O37" i="1" s="1"/>
  <c r="N38" i="1" s="1"/>
  <c r="N115" i="1"/>
  <c r="BO35" i="1"/>
  <c r="BM36" i="1"/>
  <c r="BQ36" i="1"/>
  <c r="BI36" i="1"/>
  <c r="BS35" i="1"/>
  <c r="BC35" i="1"/>
  <c r="BK35" i="1"/>
  <c r="P36" i="1"/>
  <c r="E79" i="6" s="1"/>
  <c r="BA36" i="1"/>
  <c r="BE36" i="1"/>
  <c r="E151" i="1"/>
  <c r="F111" i="6" s="1"/>
  <c r="K116" i="1"/>
  <c r="L116" i="1" s="1"/>
  <c r="H149" i="1"/>
  <c r="I109" i="6" s="1"/>
  <c r="K109" i="6" s="1"/>
  <c r="H109" i="6"/>
  <c r="G150" i="1"/>
  <c r="Q36" i="1"/>
  <c r="J79" i="6" s="1"/>
  <c r="E82" i="1"/>
  <c r="R35" i="1"/>
  <c r="I150" i="1" s="1"/>
  <c r="J110" i="6" s="1"/>
  <c r="F80" i="1"/>
  <c r="D116" i="1" l="1"/>
  <c r="N116" i="1" s="1"/>
  <c r="BK36" i="1"/>
  <c r="BC36" i="1"/>
  <c r="BG36" i="1"/>
  <c r="BO36" i="1"/>
  <c r="BS36" i="1"/>
  <c r="BM37" i="1"/>
  <c r="BQ37" i="1"/>
  <c r="BI37" i="1"/>
  <c r="P37" i="1"/>
  <c r="BG37" i="1" s="1"/>
  <c r="BA37" i="1"/>
  <c r="BE37" i="1"/>
  <c r="E152" i="1"/>
  <c r="F112" i="6" s="1"/>
  <c r="K117" i="1"/>
  <c r="L117" i="1" s="1"/>
  <c r="H150" i="1"/>
  <c r="I110" i="6" s="1"/>
  <c r="K110" i="6" s="1"/>
  <c r="H110" i="6"/>
  <c r="G151" i="1"/>
  <c r="O38" i="1"/>
  <c r="Q37" i="1"/>
  <c r="D117" i="1" s="1"/>
  <c r="V59" i="1"/>
  <c r="E83" i="1"/>
  <c r="F81" i="1"/>
  <c r="R36" i="1"/>
  <c r="K79" i="6" s="1"/>
  <c r="I151" i="1" l="1"/>
  <c r="J111" i="6" s="1"/>
  <c r="N39" i="1"/>
  <c r="O39" i="1" s="1"/>
  <c r="N40" i="1" s="1"/>
  <c r="N117" i="1"/>
  <c r="BS37" i="1"/>
  <c r="BO37" i="1"/>
  <c r="BK37" i="1"/>
  <c r="BC37" i="1"/>
  <c r="BM38" i="1"/>
  <c r="BQ38" i="1"/>
  <c r="BI38" i="1"/>
  <c r="BA38" i="1"/>
  <c r="BE38" i="1"/>
  <c r="P38" i="1"/>
  <c r="E153" i="1"/>
  <c r="F113" i="6" s="1"/>
  <c r="K118" i="1"/>
  <c r="L118" i="1" s="1"/>
  <c r="H151" i="1"/>
  <c r="I111" i="6" s="1"/>
  <c r="K111" i="6" s="1"/>
  <c r="H111" i="6"/>
  <c r="X59" i="1"/>
  <c r="G152" i="1"/>
  <c r="Q38" i="1"/>
  <c r="E84" i="1"/>
  <c r="F82" i="1"/>
  <c r="R37" i="1"/>
  <c r="I152" i="1" s="1"/>
  <c r="J112" i="6" s="1"/>
  <c r="BM39" i="1" l="1"/>
  <c r="BI39" i="1"/>
  <c r="BQ39" i="1"/>
  <c r="P39" i="1"/>
  <c r="BK39" i="1" s="1"/>
  <c r="BA39" i="1"/>
  <c r="BE39" i="1"/>
  <c r="BO38" i="1"/>
  <c r="BC38" i="1"/>
  <c r="BG38" i="1"/>
  <c r="BK38" i="1"/>
  <c r="BS38" i="1"/>
  <c r="D118" i="1"/>
  <c r="N118" i="1" s="1"/>
  <c r="E154" i="1"/>
  <c r="F114" i="6" s="1"/>
  <c r="K119" i="1"/>
  <c r="L119" i="1" s="1"/>
  <c r="H152" i="1"/>
  <c r="I112" i="6" s="1"/>
  <c r="K112" i="6" s="1"/>
  <c r="H112" i="6"/>
  <c r="G153" i="1"/>
  <c r="F83" i="1"/>
  <c r="Y59" i="1"/>
  <c r="R38" i="1"/>
  <c r="O40" i="1"/>
  <c r="E85" i="1"/>
  <c r="Q39" i="1"/>
  <c r="D119" i="1" s="1"/>
  <c r="N41" i="1" l="1"/>
  <c r="D81" i="6"/>
  <c r="N119" i="1"/>
  <c r="BO39" i="1"/>
  <c r="BC39" i="1"/>
  <c r="BQ40" i="1"/>
  <c r="BM40" i="1"/>
  <c r="BI40" i="1"/>
  <c r="BS39" i="1"/>
  <c r="BG39" i="1"/>
  <c r="P40" i="1"/>
  <c r="BA40" i="1"/>
  <c r="BE40" i="1"/>
  <c r="I153" i="1"/>
  <c r="J113" i="6" s="1"/>
  <c r="E155" i="1"/>
  <c r="F115" i="6" s="1"/>
  <c r="K120" i="1"/>
  <c r="L120" i="1" s="1"/>
  <c r="H153" i="1"/>
  <c r="I113" i="6" s="1"/>
  <c r="K113" i="6" s="1"/>
  <c r="H113" i="6"/>
  <c r="G154" i="1"/>
  <c r="E86" i="1"/>
  <c r="Q40" i="1"/>
  <c r="O41" i="1"/>
  <c r="F84" i="1"/>
  <c r="R39" i="1"/>
  <c r="I154" i="1" s="1"/>
  <c r="J114" i="6" s="1"/>
  <c r="BG40" i="1" l="1"/>
  <c r="E81" i="6"/>
  <c r="D120" i="1"/>
  <c r="M44" i="6" s="1"/>
  <c r="J81" i="6"/>
  <c r="N42" i="1"/>
  <c r="O42" i="1" s="1"/>
  <c r="N43" i="1" s="1"/>
  <c r="BK40" i="1"/>
  <c r="BS40" i="1"/>
  <c r="BO40" i="1"/>
  <c r="BC40" i="1"/>
  <c r="BQ41" i="1"/>
  <c r="BM41" i="1"/>
  <c r="BI41" i="1"/>
  <c r="P41" i="1"/>
  <c r="BA41" i="1"/>
  <c r="BE41" i="1"/>
  <c r="E156" i="1"/>
  <c r="F116" i="6" s="1"/>
  <c r="K121" i="1"/>
  <c r="L121" i="1" s="1"/>
  <c r="H154" i="1"/>
  <c r="I114" i="6" s="1"/>
  <c r="K114" i="6" s="1"/>
  <c r="H114" i="6"/>
  <c r="G155" i="1"/>
  <c r="Q41" i="1"/>
  <c r="E87" i="1"/>
  <c r="F85" i="1"/>
  <c r="R40" i="1"/>
  <c r="N120" i="1" l="1"/>
  <c r="M45" i="6" s="1"/>
  <c r="I155" i="1"/>
  <c r="J115" i="6" s="1"/>
  <c r="K81" i="6"/>
  <c r="D121" i="1"/>
  <c r="N121" i="1" s="1"/>
  <c r="BO41" i="1"/>
  <c r="BC41" i="1"/>
  <c r="BS41" i="1"/>
  <c r="BG41" i="1"/>
  <c r="BK41" i="1"/>
  <c r="BQ42" i="1"/>
  <c r="BM42" i="1"/>
  <c r="BI42" i="1"/>
  <c r="P42" i="1"/>
  <c r="BK42" i="1" s="1"/>
  <c r="BA42" i="1"/>
  <c r="BE42" i="1"/>
  <c r="E157" i="1"/>
  <c r="F117" i="6" s="1"/>
  <c r="K122" i="1"/>
  <c r="L122" i="1" s="1"/>
  <c r="H155" i="1"/>
  <c r="I115" i="6" s="1"/>
  <c r="K115" i="6" s="1"/>
  <c r="H115" i="6"/>
  <c r="G156" i="1"/>
  <c r="Q42" i="1"/>
  <c r="D122" i="1" s="1"/>
  <c r="V60" i="1"/>
  <c r="E88" i="1"/>
  <c r="O43" i="1"/>
  <c r="F86" i="1"/>
  <c r="R41" i="1"/>
  <c r="I156" i="1" l="1"/>
  <c r="J116" i="6" s="1"/>
  <c r="N44" i="1"/>
  <c r="O44" i="1" s="1"/>
  <c r="N45" i="1" s="1"/>
  <c r="N122" i="1"/>
  <c r="BS42" i="1"/>
  <c r="BG42" i="1"/>
  <c r="BC42" i="1"/>
  <c r="BI43" i="1"/>
  <c r="BQ43" i="1"/>
  <c r="BM43" i="1"/>
  <c r="BO42" i="1"/>
  <c r="BA43" i="1"/>
  <c r="BE43" i="1"/>
  <c r="P43" i="1"/>
  <c r="E158" i="1"/>
  <c r="F118" i="6" s="1"/>
  <c r="K123" i="1"/>
  <c r="L123" i="1" s="1"/>
  <c r="H156" i="1"/>
  <c r="I116" i="6" s="1"/>
  <c r="K116" i="6" s="1"/>
  <c r="H116" i="6"/>
  <c r="X60" i="1"/>
  <c r="G157" i="1"/>
  <c r="Q43" i="1"/>
  <c r="E89" i="1"/>
  <c r="F87" i="1"/>
  <c r="R42" i="1"/>
  <c r="I157" i="1" s="1"/>
  <c r="J117" i="6" s="1"/>
  <c r="BI44" i="1" l="1"/>
  <c r="BM44" i="1"/>
  <c r="BQ44" i="1"/>
  <c r="BA44" i="1"/>
  <c r="BE44" i="1"/>
  <c r="BC43" i="1"/>
  <c r="BG43" i="1"/>
  <c r="BS43" i="1"/>
  <c r="BK43" i="1"/>
  <c r="BO43" i="1"/>
  <c r="P44" i="1"/>
  <c r="D123" i="1"/>
  <c r="E159" i="1"/>
  <c r="F119" i="6" s="1"/>
  <c r="K124" i="1"/>
  <c r="L124" i="1" s="1"/>
  <c r="H157" i="1"/>
  <c r="I117" i="6" s="1"/>
  <c r="K117" i="6" s="1"/>
  <c r="H117" i="6"/>
  <c r="X61" i="1"/>
  <c r="G158" i="1"/>
  <c r="E90" i="1"/>
  <c r="O45" i="1"/>
  <c r="Q44" i="1"/>
  <c r="D124" i="1" s="1"/>
  <c r="F88" i="1"/>
  <c r="Y60" i="1"/>
  <c r="R43" i="1"/>
  <c r="N46" i="1" l="1"/>
  <c r="O46" i="1" s="1"/>
  <c r="N123" i="1"/>
  <c r="N124" i="1"/>
  <c r="BM45" i="1"/>
  <c r="BQ45" i="1"/>
  <c r="BI45" i="1"/>
  <c r="BA45" i="1"/>
  <c r="BE45" i="1"/>
  <c r="BC44" i="1"/>
  <c r="BK44" i="1"/>
  <c r="BO44" i="1"/>
  <c r="BS44" i="1"/>
  <c r="BG44" i="1"/>
  <c r="P45" i="1"/>
  <c r="I158" i="1"/>
  <c r="J118" i="6" s="1"/>
  <c r="E160" i="1"/>
  <c r="F120" i="6" s="1"/>
  <c r="K125" i="1"/>
  <c r="L125" i="1" s="1"/>
  <c r="H158" i="1"/>
  <c r="I118" i="6" s="1"/>
  <c r="K118" i="6" s="1"/>
  <c r="H118" i="6"/>
  <c r="G159" i="1"/>
  <c r="F89" i="1"/>
  <c r="R44" i="1"/>
  <c r="I159" i="1" s="1"/>
  <c r="J119" i="6" s="1"/>
  <c r="E91" i="1"/>
  <c r="Q45" i="1"/>
  <c r="D125" i="1" l="1"/>
  <c r="N125" i="1" s="1"/>
  <c r="N47" i="1"/>
  <c r="O47" i="1" s="1"/>
  <c r="BM46" i="1"/>
  <c r="BI46" i="1"/>
  <c r="BQ46" i="1"/>
  <c r="BA46" i="1"/>
  <c r="BE46" i="1"/>
  <c r="BO45" i="1"/>
  <c r="BC45" i="1"/>
  <c r="BG45" i="1"/>
  <c r="BS45" i="1"/>
  <c r="BK45" i="1"/>
  <c r="P46" i="1"/>
  <c r="E161" i="1"/>
  <c r="F121" i="6" s="1"/>
  <c r="K126" i="1"/>
  <c r="L126" i="1" s="1"/>
  <c r="H159" i="1"/>
  <c r="I119" i="6" s="1"/>
  <c r="K119" i="6" s="1"/>
  <c r="H119" i="6"/>
  <c r="G160" i="1"/>
  <c r="Q46" i="1"/>
  <c r="E92" i="1"/>
  <c r="R45" i="1"/>
  <c r="F90" i="1"/>
  <c r="D126" i="1" l="1"/>
  <c r="BI47" i="1"/>
  <c r="BQ47" i="1"/>
  <c r="BM47" i="1"/>
  <c r="BA47" i="1"/>
  <c r="BE47" i="1"/>
  <c r="BC46" i="1"/>
  <c r="BK46" i="1"/>
  <c r="BS46" i="1"/>
  <c r="BG46" i="1"/>
  <c r="BO46" i="1"/>
  <c r="P47" i="1"/>
  <c r="M40" i="6"/>
  <c r="I160" i="1"/>
  <c r="J120" i="6" s="1"/>
  <c r="E162" i="1"/>
  <c r="F122" i="6" s="1"/>
  <c r="K127" i="1"/>
  <c r="L127" i="1" s="1"/>
  <c r="H160" i="1"/>
  <c r="I120" i="6" s="1"/>
  <c r="K120" i="6" s="1"/>
  <c r="H120" i="6"/>
  <c r="G161" i="1"/>
  <c r="Q47" i="1"/>
  <c r="V61" i="1"/>
  <c r="E93" i="1"/>
  <c r="O48" i="1"/>
  <c r="F91" i="1"/>
  <c r="R46" i="1"/>
  <c r="M31" i="6" l="1"/>
  <c r="M30" i="6"/>
  <c r="N126" i="1"/>
  <c r="I161" i="1"/>
  <c r="J121" i="6" s="1"/>
  <c r="M42" i="6"/>
  <c r="BC47" i="1"/>
  <c r="BK47" i="1"/>
  <c r="BS47" i="1"/>
  <c r="BG47" i="1"/>
  <c r="BO47" i="1"/>
  <c r="D127" i="1"/>
  <c r="F126" i="6"/>
  <c r="H128" i="6"/>
  <c r="H161" i="1"/>
  <c r="I121" i="6" s="1"/>
  <c r="K121" i="6" s="1"/>
  <c r="H121" i="6"/>
  <c r="G162" i="1"/>
  <c r="F92" i="1"/>
  <c r="R47" i="1"/>
  <c r="O49" i="1"/>
  <c r="R48" i="1"/>
  <c r="N127" i="1" l="1"/>
  <c r="I162" i="1"/>
  <c r="J122" i="6" s="1"/>
  <c r="M47" i="6"/>
  <c r="H162" i="1"/>
  <c r="I122" i="6" s="1"/>
  <c r="K122" i="6" s="1"/>
  <c r="H122" i="6"/>
  <c r="H126" i="6" s="1"/>
  <c r="AK51" i="1"/>
  <c r="AK52" i="1" s="1"/>
  <c r="AE51" i="1"/>
  <c r="AE52" i="1" s="1"/>
  <c r="AW51" i="1"/>
  <c r="AW52" i="1" s="1"/>
  <c r="BD51" i="1"/>
  <c r="BD52" i="1" s="1"/>
  <c r="AQ51" i="1"/>
  <c r="AQ52" i="1" s="1"/>
  <c r="F93" i="1"/>
  <c r="Y61" i="1"/>
</calcChain>
</file>

<file path=xl/sharedStrings.xml><?xml version="1.0" encoding="utf-8"?>
<sst xmlns="http://schemas.openxmlformats.org/spreadsheetml/2006/main" count="555" uniqueCount="318">
  <si>
    <t>YEAR</t>
  </si>
  <si>
    <t>New pension</t>
  </si>
  <si>
    <t>Annual Increase amount</t>
  </si>
  <si>
    <t>Annual Increase Amount</t>
  </si>
  <si>
    <t>Projected Digital Increase %</t>
  </si>
  <si>
    <t>Shortfall Against RPI Pension</t>
  </si>
  <si>
    <t>Cumulative Shortfall</t>
  </si>
  <si>
    <t>Total Pension Income over period</t>
  </si>
  <si>
    <t>Total income</t>
  </si>
  <si>
    <t>Gain over worst case scenario</t>
  </si>
  <si>
    <t>As % of Baseline</t>
  </si>
  <si>
    <t>NOTE: THESE SCENARIOS DO NOT INCLUDE ANY INTERVENTIONS THAT ATTEMPT TO MAKE UP FOR PAST LOSSES FOR PENSIONERS</t>
  </si>
  <si>
    <t xml:space="preserve"> </t>
  </si>
  <si>
    <t>Pension as % of RPI based Pension</t>
  </si>
  <si>
    <t>PERSONAL/INDIVIDUAL MODELLER</t>
  </si>
  <si>
    <t>30 YEAR TIMESCALE</t>
  </si>
  <si>
    <t>NOTE:</t>
  </si>
  <si>
    <t>MALE LIFE-EXPECTANCY</t>
  </si>
  <si>
    <t>FEMALE LIFE-EXPECTANCY</t>
  </si>
  <si>
    <t>?</t>
  </si>
  <si>
    <t>Years</t>
  </si>
  <si>
    <t>Shortfall againts RPI</t>
  </si>
  <si>
    <t>As % of RPI Pension</t>
  </si>
  <si>
    <t>Cmulative Shortfall</t>
  </si>
  <si>
    <t>YEAR RETIRED</t>
  </si>
  <si>
    <t>YEAR NUMBER</t>
  </si>
  <si>
    <t>AGE WHEN RETIRED</t>
  </si>
  <si>
    <t>RPI PENSION (000S)</t>
  </si>
  <si>
    <t>Year</t>
  </si>
  <si>
    <t>% increase</t>
  </si>
  <si>
    <t>Actual &amp; POTENTIAL increases</t>
  </si>
  <si>
    <t>Digital Increase %</t>
  </si>
  <si>
    <t>CURRENT YEAR</t>
  </si>
  <si>
    <t>% of RPI FROM 2021 Onwards</t>
  </si>
  <si>
    <t>Actual</t>
  </si>
  <si>
    <t>CURRENT AGE</t>
  </si>
  <si>
    <t>Discretionary Increases in Pensions</t>
  </si>
  <si>
    <t>Buying Power of 100 in 1988</t>
  </si>
  <si>
    <t>Digital</t>
  </si>
  <si>
    <t>Compaq</t>
  </si>
  <si>
    <t>HP</t>
  </si>
  <si>
    <t>RPI</t>
  </si>
  <si>
    <t>% of RPI</t>
  </si>
  <si>
    <t xml:space="preserve">To retain 1988 buying power, pension payments would need to increase by </t>
  </si>
  <si>
    <t>RPI BASED PENSION VALUE(£)</t>
  </si>
  <si>
    <t>Age</t>
  </si>
  <si>
    <t>Actual Pension as % of RPI based Pension</t>
  </si>
  <si>
    <t>ENTER</t>
  </si>
  <si>
    <t xml:space="preserve">CURRENT PENSION </t>
  </si>
  <si>
    <t>As % of AN ANNUAL RPI ADJUSTED Pension</t>
  </si>
  <si>
    <t>Cumulative Shortfall since date of retirement</t>
  </si>
  <si>
    <t>SHORTFALL AGAINST AN RPI PENSION</t>
  </si>
  <si>
    <t>DATE JOINED</t>
  </si>
  <si>
    <t>DATE LEFT</t>
  </si>
  <si>
    <t>YEARS</t>
  </si>
  <si>
    <t>AMOUNT</t>
  </si>
  <si>
    <t>%</t>
  </si>
  <si>
    <t>POST '97 INCREASE</t>
  </si>
  <si>
    <t>% OF PENSION</t>
  </si>
  <si>
    <t>YEARS SERVICE BEFORE 1997</t>
  </si>
  <si>
    <t>YEARS SERVICE AFTER 1997</t>
  </si>
  <si>
    <t>PERSON 1</t>
  </si>
  <si>
    <t>PENSION BUYING POWER</t>
  </si>
  <si>
    <t>% OF PENSION PRE '97</t>
  </si>
  <si>
    <t>% OF PENSION POST 97</t>
  </si>
  <si>
    <t>CURRENT SITUATION</t>
  </si>
  <si>
    <t>Martins inflation data</t>
  </si>
  <si>
    <t>THE IMPACT OF INFLATION</t>
  </si>
  <si>
    <t>RPI 2001 - 2020</t>
  </si>
  <si>
    <t>INCREASE</t>
  </si>
  <si>
    <t>% INCREASE</t>
  </si>
  <si>
    <t>CUMULATIVE</t>
  </si>
  <si>
    <t>IN RPI</t>
  </si>
  <si>
    <t>IN YEAR</t>
  </si>
  <si>
    <t>PAST RPI AND FUTURE RPI</t>
  </si>
  <si>
    <t>ALL</t>
  </si>
  <si>
    <t>1997 SPLIT OF PENSIONS</t>
  </si>
  <si>
    <t>TOTAL YEARS SERVICE</t>
  </si>
  <si>
    <t>ANONYMOUS</t>
  </si>
  <si>
    <t>YEARS RETIRED</t>
  </si>
  <si>
    <t>BEFORE TAX</t>
  </si>
  <si>
    <t>Current Year</t>
  </si>
  <si>
    <t>Forecast basd on user input</t>
  </si>
  <si>
    <t>Shortfall Against RPI Pension (Buy Power</t>
  </si>
  <si>
    <t>Starting Pension</t>
  </si>
  <si>
    <t>Your Pension Buying Power</t>
  </si>
  <si>
    <t>Notes:</t>
  </si>
  <si>
    <t>Cumulative Shortfall against RPI Pension</t>
  </si>
  <si>
    <t>AGE</t>
  </si>
  <si>
    <t>STARTING PENSION at Jan 1st of year</t>
  </si>
  <si>
    <t>CURRENT PENSION VALUE(£)</t>
  </si>
  <si>
    <t>YOUR PENSION CONTRIBUTIONS FOR THESE YEARS INCREASE EACH YEAR BY THE VALUE OF THE RETAIL PRICE INDEX (RPI)</t>
  </si>
  <si>
    <t>Note 1</t>
  </si>
  <si>
    <t>Note 2</t>
  </si>
  <si>
    <t xml:space="preserve"> Shortfall Against RPI INCREASES</t>
  </si>
  <si>
    <t>Growing by RPI increases</t>
  </si>
  <si>
    <t>Annual difference/reduced income</t>
  </si>
  <si>
    <t>Declining value due to Inflation</t>
  </si>
  <si>
    <t xml:space="preserve">TOTAL INCOME SHORTFALL </t>
  </si>
  <si>
    <t>Total Payments over period</t>
  </si>
  <si>
    <t xml:space="preserve">THE MODELLER ASSUMES YOU RETIRED ON 1ST JANUARY OF </t>
  </si>
  <si>
    <t>Annual Pension as % of an RPI Pension at end of period</t>
  </si>
  <si>
    <t>CUM PENSION PAID</t>
  </si>
  <si>
    <t>Pension</t>
  </si>
  <si>
    <t>Pension receiving annual RPI</t>
  </si>
  <si>
    <t>Cumulative Pension Income Received</t>
  </si>
  <si>
    <t>RPI Pension Cumulative Income</t>
  </si>
  <si>
    <t>CUMULATIVE RPI PENSION</t>
  </si>
  <si>
    <t>CUMULATIVE CURRENT PENSION VALUE(£)</t>
  </si>
  <si>
    <t>STRATEGY - ETHICAL 1</t>
  </si>
  <si>
    <t>STRATEGY - ETHICAL 2</t>
  </si>
  <si>
    <t>STRATEGY - ETHICAL 3</t>
  </si>
  <si>
    <t>Cum pension</t>
  </si>
  <si>
    <t>STRATEGY - ETHICAL 4</t>
  </si>
  <si>
    <t>Cumulative Pension Paid</t>
  </si>
  <si>
    <t>Gain in pension value</t>
  </si>
  <si>
    <t>Cum Gain over Digital Pension</t>
  </si>
  <si>
    <t>Cum Gain over digital pension</t>
  </si>
  <si>
    <t>ETHICAL 1 - SHORTFALL</t>
  </si>
  <si>
    <t>ETHICAL 1 - BUY POWER</t>
  </si>
  <si>
    <t>ETHICAL 2 - BUY POWER</t>
  </si>
  <si>
    <t>ETHICAL 3 - BUY POWER</t>
  </si>
  <si>
    <t>ETHICAL 4 - BUY POWER</t>
  </si>
  <si>
    <t>AD-HOC STRATEGY - SHORTFALL</t>
  </si>
  <si>
    <t>ETHICAL 2- SHORTFALL</t>
  </si>
  <si>
    <t>ETHICAL 3 SHORTFALL</t>
  </si>
  <si>
    <t>ETHICAL 4 - SHORTFALL</t>
  </si>
  <si>
    <t>DETAILED VIEW  - COVERING 30 YEAR HORIZON</t>
  </si>
  <si>
    <t>SUMMARY VIEW  - UP TO AGE 84</t>
  </si>
  <si>
    <t>PERSON  1</t>
  </si>
  <si>
    <t>Actual &amp; FUTURE FORECASTS</t>
  </si>
  <si>
    <t>RPI and actual disctretionary increases granted</t>
  </si>
  <si>
    <t>Assumptions</t>
  </si>
  <si>
    <t>Pension with RPI applied</t>
  </si>
  <si>
    <t>Note 3</t>
  </si>
  <si>
    <t>AD-HOC STRATEGY - EXTREME LOW SCALE VARIABLE INTERVENTIONS WITH NO STRATEGY</t>
  </si>
  <si>
    <t>ETHICAL 1 - REGULAR RPI INCREASES EVERY 2 YEARS</t>
  </si>
  <si>
    <t>ETHICAL 2 - FIXED 50% OF RPI EVERY YEAR</t>
  </si>
  <si>
    <t>ETHICAL 3 - FIXED 50% OF RPI EVERY YEAR WITH RPI INCREASE EVERY 3RD YEAR</t>
  </si>
  <si>
    <t>ETHICAL 4 - SLIDING SCALE OF INFLATION BASED INCREASES OVER REMAINING LIFETIMES</t>
  </si>
  <si>
    <t>AD-HOC STRATEGY</t>
  </si>
  <si>
    <t>YEAR FROM WHEN POST 1997 SERVICE GETS AUTO INCREASE</t>
  </si>
  <si>
    <t>ETHICAL 1</t>
  </si>
  <si>
    <t>ETHICAL 2</t>
  </si>
  <si>
    <t>ETHICAL 3</t>
  </si>
  <si>
    <t>ETHICAL 4</t>
  </si>
  <si>
    <t>AD-HOC</t>
  </si>
  <si>
    <t>These tables for historical reference only - as used to build/create main table</t>
  </si>
  <si>
    <t>STRATEGY  AD-HOC</t>
  </si>
  <si>
    <t>Past and Future Projected Values - from age 55  to 84 (in 5 year increments)</t>
  </si>
  <si>
    <t xml:space="preserve">Comparison of actual pension increases against RPI based increases </t>
  </si>
  <si>
    <t xml:space="preserve"> CHANGE VALUE BELOW TO SIMULATE DIFFERENT RATE</t>
  </si>
  <si>
    <t>Total Income</t>
  </si>
  <si>
    <t>Buying Power of Pension as % of current pension</t>
  </si>
  <si>
    <t>Pension with RPI increases</t>
  </si>
  <si>
    <t>Pension shortfall against RPI Pension</t>
  </si>
  <si>
    <t>Buying Power ( Pension less shortfall)</t>
  </si>
  <si>
    <t>Difference in Total Incomes</t>
  </si>
  <si>
    <t>Cumulative Shortfall in income against RPI Pension</t>
  </si>
  <si>
    <t>Past Actuals and Future Projections</t>
  </si>
  <si>
    <t>Actual &amp; SIMULATION  increases</t>
  </si>
  <si>
    <t>Simple compound approach</t>
  </si>
  <si>
    <t>Cumulative RPI</t>
  </si>
  <si>
    <t>Cumulative RPI approach from start</t>
  </si>
  <si>
    <t>New Pension</t>
  </si>
  <si>
    <t>BEST CASE SCENARIO - RPI INCREASE EVERY YEAR</t>
  </si>
  <si>
    <t>RPI APPROACH TO APPLY</t>
  </si>
  <si>
    <t>APPROACHES TO CALCULATING PENSION GAINS BY RPI</t>
  </si>
  <si>
    <t>SELECT 1 OR 2</t>
  </si>
  <si>
    <t>Cumulative Increase amount</t>
  </si>
  <si>
    <t>As % of Pension Value</t>
  </si>
  <si>
    <t>BOX 1</t>
  </si>
  <si>
    <t>THEREFORE ANY INCREASE IN YOUR RETIREMENT YEAR IS FACTORED IN AS WELL AS THE CURRENT YEAR</t>
  </si>
  <si>
    <t>Enter Gross Annual Pension (after any tax-free lumpsum was taken)</t>
  </si>
  <si>
    <t>IF FULL RPI HAD BEEN GIVEN EACH YEAR - YOUR PENSION WOULD BE ESTIMATED TO BE WORTH TODAY</t>
  </si>
  <si>
    <t>AVERAGE ANNUAL INFLATION RATE FROM CURRENT YEAR ONWARDS</t>
  </si>
  <si>
    <t>*This is calculated using actual historical RPI figures (see detailed view below) and estimate for this year</t>
  </si>
  <si>
    <t>THE DIFFERENCE BETWEEN YOUR CURRENT PENSION AND A PENSION INCREASED BY RPI EACH YEAR IS</t>
  </si>
  <si>
    <r>
      <t xml:space="preserve">ESTIMATED PENSION VALUE FOR CURRENT YEAR </t>
    </r>
    <r>
      <rPr>
        <sz val="18"/>
        <color theme="1"/>
        <rFont val="Calibri"/>
        <family val="2"/>
        <scheme val="minor"/>
      </rPr>
      <t>(Refer to detailed tables below)</t>
    </r>
  </si>
  <si>
    <t xml:space="preserve">Your current pension is estimated at being </t>
  </si>
  <si>
    <t>YOUR CURRENT PENSION  WITH INCREASES SINCE RETIREMENT IS ESTIMATED AT BEING APPROXIMATELY</t>
  </si>
  <si>
    <t>THE PRESENT "BUYING POWER" OF YOUR CURRENT PENSION IS ESTIMATED AS</t>
  </si>
  <si>
    <t>AT AGE 84 - THE VALUE OF YOUR PENSION IS ESTIMATED TO BE</t>
  </si>
  <si>
    <t>This is based on continued zero discretionary increases being given over all future years</t>
  </si>
  <si>
    <t>AT AGE 84 - IF YOUR PENSION INCREASED EVERY YEAR WITH RPI IT WOULD BE ESTIMATED TO BE</t>
  </si>
  <si>
    <t>This is based on using a DEFAULT VALUE for a forecasted annual rate of inflation over future years</t>
  </si>
  <si>
    <t>AT AGE 84 - CUMULATIVE AMOUNT OF "LOST" INCOME COMPARED TO A PENSION THAT INCREASED WITH RPI</t>
  </si>
  <si>
    <t>BOX 2</t>
  </si>
  <si>
    <t>of the value of your pension when you retired</t>
  </si>
  <si>
    <t>CUMULATIVE AMOUNT OF "LOST" INCOME SINCE RETIREMENT TO THE CURRENT YEAR IS ESTIMATED  AT</t>
  </si>
  <si>
    <t>Total cumulative income from actual pension compared with total cumulative income from an RPI pension</t>
  </si>
  <si>
    <t>These results are based on using A DEFAULT VALUE forecast rate of inflation % per year</t>
  </si>
  <si>
    <t xml:space="preserve">Your current pension buying power is estimated at being </t>
  </si>
  <si>
    <t>in current year</t>
  </si>
  <si>
    <t xml:space="preserve">At age 84 - your pension buying power is estimated to be </t>
  </si>
  <si>
    <t>Pension buying as % of RPI Pnsion</t>
  </si>
  <si>
    <t>AT AGE 84 - THE "BUYING POWER" OF YOUR PENSION IS ESTIMATED TO BE</t>
  </si>
  <si>
    <t>ESTIMATED IMPACT ASSESSMENT - FROM YEAR OF RETIREMENT TO CURRENT YEAR</t>
  </si>
  <si>
    <t>ESTIMATED IMPACT ASSESSMENT - FROM YEAR OF RETIREMENT TO AGE 84</t>
  </si>
  <si>
    <t xml:space="preserve">AT AGE 84 - your pension is estimated at being </t>
  </si>
  <si>
    <r>
      <t xml:space="preserve">of the value of your pension </t>
    </r>
    <r>
      <rPr>
        <b/>
        <sz val="14"/>
        <color rgb="FFC00000"/>
        <rFont val="Calibri (Body)_x0000_"/>
      </rPr>
      <t>had it always risen by RPI to the present time</t>
    </r>
  </si>
  <si>
    <r>
      <t xml:space="preserve">of the value of your pension </t>
    </r>
    <r>
      <rPr>
        <b/>
        <sz val="14"/>
        <color rgb="FFC00000"/>
        <rFont val="Calibri (Body)_x0000_"/>
      </rPr>
      <t>had it always risen by RPI to this age</t>
    </r>
  </si>
  <si>
    <t>based on the default value used below</t>
  </si>
  <si>
    <t>RETIRED YEAR ENTERED BY USER</t>
  </si>
  <si>
    <t>FOR A DEFERRED PERSON WHO MAY EXPERIMENT WITH MODELLR - THIS YEAR WILL CHANGE</t>
  </si>
  <si>
    <t xml:space="preserve">MAX OF 5% BUT NO MORE THAN RPI </t>
  </si>
  <si>
    <t xml:space="preserve">ASSUME RPI IS </t>
  </si>
  <si>
    <t>MAX POSSIBLE IS</t>
  </si>
  <si>
    <t>% INCREASE APPLIED FOR THIS RULE IS</t>
  </si>
  <si>
    <t>RULE 12.2.2 - FOR INCREASING PENSIONS IN PAYMENT AT 1ST APRIL 1997</t>
  </si>
  <si>
    <t>TWO THIRDS OF VALUE DETERMINED BY RULE 12.2.1</t>
  </si>
  <si>
    <t>TWO THIRDS OF 5% IS</t>
  </si>
  <si>
    <t>VALUE TO BE APPLIED FOR RULE 12.2.2 and RULE 12.2.3</t>
  </si>
  <si>
    <t>MAXIMUM ALLOWED</t>
  </si>
  <si>
    <t>RULE 12.2.3</t>
  </si>
  <si>
    <t>CHANGE THESE VALUES TO SIMULATE</t>
  </si>
  <si>
    <t>CALCULATED</t>
  </si>
  <si>
    <t>Can change by DoB</t>
  </si>
  <si>
    <t>BASELINE DETAILS FOR INDIVIDUAL</t>
  </si>
  <si>
    <t>DATE OF BIRTH</t>
  </si>
  <si>
    <t>AGE WHEN JOINED</t>
  </si>
  <si>
    <t>AGE WHEN LEFT</t>
  </si>
  <si>
    <t>YEARS SERVICE PRE 1997</t>
  </si>
  <si>
    <t>BASELINE YEAR</t>
  </si>
  <si>
    <t>FROM 1997 TO 40 YEARS SERVICE</t>
  </si>
  <si>
    <t>FROM 1997 TO NORMAL PENSION DATE</t>
  </si>
  <si>
    <t>NORMAL PENSION AGE</t>
  </si>
  <si>
    <t>NORMAL PENSION YEAR</t>
  </si>
  <si>
    <t>YEARS OF SERVICE FROM 1997 TO LEAVING DATE</t>
  </si>
  <si>
    <t>NUMBER OF YEARS FROM 1997 TO ACHIEVE 40 YEARS SERVICE</t>
  </si>
  <si>
    <t>NUMBER OF YEARS FROM 1997 TO NORMAL PENSION DATE</t>
  </si>
  <si>
    <t>(ABOVE CALCULATION CAN RESULT IN 0 under certain circumstances)</t>
  </si>
  <si>
    <t>% TAKEN FROM RULE 12.2.2</t>
  </si>
  <si>
    <t>A</t>
  </si>
  <si>
    <t>PENSIONABLE YEARS SERVICE BEFORE 1997</t>
  </si>
  <si>
    <t>B</t>
  </si>
  <si>
    <t>PROSPECTIVE PENSIONABLE SERVICE BETWEEN 1997 AND THE EARLIER OF  NORMAL PENSION DATE AND COMPLETION 40 YEARS SERVICE</t>
  </si>
  <si>
    <t>C</t>
  </si>
  <si>
    <t>To calculate (D), two tests have to be applied:</t>
  </si>
  <si>
    <t>Test 1 : Which is EARLIER - years to LEAVING DATE or years NORMAL PENSION DATE</t>
  </si>
  <si>
    <t>PENSIONABLE SERVICE FROM 1997 TO THE EARLIEST OF (DATE OF LEAVING, NORMAL PENSION DATE, 40 YEARS SERVICE)</t>
  </si>
  <si>
    <t>D</t>
  </si>
  <si>
    <t>Caluclating (E) which is the amount by which years service  before 1997  is greater than years to retirement from 1997 or 40 years service. If years to retirement is greater than years worked before 1997 then result is 0</t>
  </si>
  <si>
    <t>AMOUNT B GREATER THAN C OR ZERO IF C GREATER  OR EQUAL TO B</t>
  </si>
  <si>
    <t>E</t>
  </si>
  <si>
    <t>% increase applied</t>
  </si>
  <si>
    <t>% INCREASE TO BE APPLIED TO PRE-97 SERVICE</t>
  </si>
  <si>
    <t xml:space="preserve">Which is </t>
  </si>
  <si>
    <t>YOUR PENSION CONTRIBUTIONS FOR THESE YEARS INCREASE ACCORDING TO THE FORMULA CALCULATION</t>
  </si>
  <si>
    <t>PRE'97 increased BASED ON FORMULA</t>
  </si>
  <si>
    <t>RULE 12.2.1</t>
  </si>
  <si>
    <t>APPLIED</t>
  </si>
  <si>
    <t>RULE 12.2.2</t>
  </si>
  <si>
    <t>TEST 1</t>
  </si>
  <si>
    <t>TEST 2</t>
  </si>
  <si>
    <t>2/3RDS OF RULE 2.1</t>
  </si>
  <si>
    <t>EXAMPLE</t>
  </si>
  <si>
    <t>MAX ALLOWED</t>
  </si>
  <si>
    <t>HISTORICAL RPI</t>
  </si>
  <si>
    <t>Pension Value</t>
  </si>
  <si>
    <t>Pension Value Difference with RPI Pension</t>
  </si>
  <si>
    <t>Cumulative Income Shortfall against RPI</t>
  </si>
  <si>
    <t>Increase for Pre'97 Service from FORMULA CALCULATION</t>
  </si>
  <si>
    <t>Increase % based on FORMULA</t>
  </si>
  <si>
    <r>
      <t>HEWLETT PACKARD SECTION PENSION : IMPACT MODELLER / SIMULATOR - AN INDICATIVE VIEW SPANNING 30 YEARS</t>
    </r>
    <r>
      <rPr>
        <b/>
        <i/>
        <sz val="18"/>
        <color rgb="FFFF0000"/>
        <rFont val="Calibri (Body)_x0000_"/>
      </rPr>
      <t xml:space="preserve"> (REFER TO THE GUIDE BEFORE USING THIS MODELLER)</t>
    </r>
  </si>
  <si>
    <t>SIMULATING ALTERNATIVE RATES OF INFLATION</t>
  </si>
  <si>
    <t>Historical RPI and Future Forecast RPI</t>
  </si>
  <si>
    <t>CURRENT FORMULA APPROACH FOR HP SECTION</t>
  </si>
  <si>
    <t>THESE AREAS RE NOT RELEVANT TO HP SECTION CALCULATIONS - AND ARE ONLY USED IN THE SEPARATE DIGITAL MODELLER</t>
  </si>
  <si>
    <r>
      <rPr>
        <b/>
        <sz val="16"/>
        <color rgb="FFC00000"/>
        <rFont val="Calibri (Body)_x0000_"/>
      </rPr>
      <t>RULE 12.2.1</t>
    </r>
    <r>
      <rPr>
        <b/>
        <sz val="16"/>
        <color rgb="FFC00000"/>
        <rFont val="Calibri"/>
        <family val="2"/>
        <scheme val="minor"/>
      </rPr>
      <t xml:space="preserve"> - </t>
    </r>
    <r>
      <rPr>
        <b/>
        <sz val="16"/>
        <color rgb="FFC00000"/>
        <rFont val="Calibri (Body)_x0000_"/>
      </rPr>
      <t>FOR POST 1997 SERVICE</t>
    </r>
  </si>
  <si>
    <t xml:space="preserve">NOTE: </t>
  </si>
  <si>
    <t>INCREASE EACH YEAR BY BY THE LESSER OF</t>
  </si>
  <si>
    <t>RULE 12.2.3 for Service Before 1997</t>
  </si>
  <si>
    <t>A person who retired after 1997 would be granted an increase based on THE FORMULA - which the calculations below attempt to replicate</t>
  </si>
  <si>
    <t>Applying the Formula (the detailed calculations)</t>
  </si>
  <si>
    <t>AS % OF TOTAL YEARS SERVICE</t>
  </si>
  <si>
    <t>CURRENT PENSION VALUE</t>
  </si>
  <si>
    <t>Pension Amount Attributable to pre'97 Service</t>
  </si>
  <si>
    <t>Pension Amount Attributable to post''97 Service</t>
  </si>
  <si>
    <t>NEW PENSION VALUE</t>
  </si>
  <si>
    <t xml:space="preserve">Test 2  : OF ABOVE - which is EARLIER against achieving 40 years service </t>
  </si>
  <si>
    <t>Total</t>
  </si>
  <si>
    <t>AMOUNT of INCREASE</t>
  </si>
  <si>
    <t>INDIVIDUAL DETAILS SUPPLIED WHEN INITIATING THE MODELLER ON "MASTER SUMMARY" PAGE</t>
  </si>
  <si>
    <t>COMPARED WITH A PENSION THAT INCREASD BY RPI</t>
  </si>
  <si>
    <t>IINCREASE</t>
  </si>
  <si>
    <t xml:space="preserve">By adjusting Date of Birth </t>
  </si>
  <si>
    <t xml:space="preserve">By adjusting Date Joined </t>
  </si>
  <si>
    <t xml:space="preserve">By adjusting Date Left </t>
  </si>
  <si>
    <t xml:space="preserve"> - the percentage applied to pre-97 service increases as age increases</t>
  </si>
  <si>
    <t xml:space="preserve"> - the percentage applied to pre-97 service increases as years service increase</t>
  </si>
  <si>
    <t xml:space="preserve"> - the percentage applied to pre-97 service increases as years service post'97 increases</t>
  </si>
  <si>
    <t>ENTER DETAILS TO ASSESS AND VALIDATE HOW THE HP PENSION FORMULA WORKS FOR PRE-1997 SERVICE</t>
  </si>
  <si>
    <r>
      <t xml:space="preserve">ONLY ENTER VALUES IN THE </t>
    </r>
    <r>
      <rPr>
        <b/>
        <sz val="20"/>
        <color rgb="FFFFFF00"/>
        <rFont val="Calibri (Body)_x0000_"/>
      </rPr>
      <t xml:space="preserve">YELLOW </t>
    </r>
    <r>
      <rPr>
        <b/>
        <sz val="20"/>
        <color theme="0"/>
        <rFont val="Calibri"/>
        <family val="2"/>
        <scheme val="minor"/>
      </rPr>
      <t>BOXES WHERE IT SAYS ENTER - do not alter any other values</t>
    </r>
  </si>
  <si>
    <t xml:space="preserve">THESE FIGURES SHOULD HOPEFULLY BE A REASONABLE INDICATIVE ESTIMATE - HOWEVER - THEY MAY BE MARGINALLY DIFFERENT THAN ACTUAL DEPENDING ON YEARS SERVICE BEFORE 1997 AND YEAR RETIRED &amp; RPI APPLIED BY THE COMPANY. YOU MUST FACTOR THESE VARIANCES INTO ANY CONCLUSIONS ABOUT PENSION IMPACTS OVER THE TIME HORIZON AND POTENTIAL LIFETIME. </t>
  </si>
  <si>
    <t>THE MODELLER ASSUMES THAT FULL RPI INCREASES WERE APPLIED TO PENSIONS IN PAYMENT BEFORE 1997 AND THIS FORMULA APPLIES ONLY FROM 1997 ONWARDS (The modeller will show this in the detailed tables)</t>
  </si>
  <si>
    <t>INCREASE GRANTED TO PRE-1997 SERVICE</t>
  </si>
  <si>
    <t>THE MODELLER IS ONLY USEFUL FOR RETIREMENT DATES FROM 1992 ONWARDS</t>
  </si>
  <si>
    <t>THESE TABLES DO NOT APPLY TO HP SECTION - THEY ARE ONLY USED ON THE DIGITAL PENSION MODELLER</t>
  </si>
  <si>
    <t>The percentage increase to be applied to pre'1997 service in any specific year will change depending on the value of RPI</t>
  </si>
  <si>
    <t>DISCRETIONARY INCREASE VALUES TO BE USED FOR PRE 97 SERVICE PENSIONERS  - PAST AND FUTURE AND TO SIMULATE VARIOUS STRATEGIES</t>
  </si>
  <si>
    <t>Based on actual past RPI and Future RPI forecast</t>
  </si>
  <si>
    <t>Grows with FORMULA increases for pre-97 service and Post-97 service using RPI</t>
  </si>
  <si>
    <t xml:space="preserve">CUMULATIVE "LOSS" OF INCOME </t>
  </si>
  <si>
    <t>YEAR BORN</t>
  </si>
  <si>
    <t>YEAR JOINED</t>
  </si>
  <si>
    <t>YEAR LEFT</t>
  </si>
  <si>
    <r>
      <t xml:space="preserve">ONLY ENTER VALUES IN THE </t>
    </r>
    <r>
      <rPr>
        <b/>
        <sz val="18"/>
        <color rgb="FFFFFF00"/>
        <rFont val="Calibri (Body)_x0000_"/>
      </rPr>
      <t xml:space="preserve">YELLOW </t>
    </r>
    <r>
      <rPr>
        <b/>
        <sz val="18"/>
        <color theme="0"/>
        <rFont val="Calibri"/>
        <family val="2"/>
        <scheme val="minor"/>
      </rPr>
      <t>BOXES WHERE IT SAYS ENTER AND DOUBLE-CHECK ACCURACY - do not alter any other values</t>
    </r>
  </si>
  <si>
    <t>Pension with less than RPI increases</t>
  </si>
  <si>
    <t>This is an estimate using past increase calculations and any potential increase for the current year</t>
  </si>
  <si>
    <t>THE MODELLER ASSUMES THAT FULL RPI INCREASES WERE APPLIED TO PENSIONS IN PAYMENT BEFORE 1997 AND THE FORMULA APPLIES ONLY FROM 1997 ONWARDS</t>
  </si>
  <si>
    <t>of the increase available for pre97 service</t>
  </si>
  <si>
    <t xml:space="preserve">For those already receiving pensions in 1997 - this rule applies (NOTE: the modeller assumes that retirees before 1997 received full RPI based increases up to 1997 after which this rule applies) </t>
  </si>
  <si>
    <t>If this value is exact same as when retired - it suggests all years service are pre-1997 with zero increases being granted. If there are significant variances between this figure and actual current pension - this may be due to historical RPI used and other factors in your pension that the model does not/cannot represent.</t>
  </si>
  <si>
    <t>PENSION VALUE AT FIRST YEAR OF RETIREMENT (whole number - no decimals)</t>
  </si>
  <si>
    <t>AGE WHEN RETIRED (This number is calculated and will be older than current age if  YEAR RETIRED is in the future)</t>
  </si>
  <si>
    <t>YEAR RETIRED ( or anticipated future year of retirement if Deferred)</t>
  </si>
  <si>
    <t xml:space="preserve">Your pension is made up of various elements and complex calculations - this modeller therefore cannot be totally accurate. You are asked to verify degree of accuracy against your actual personal data and provide feedback. Special circumstances like Pension transfers or using redundancy payments to uplift pension contributions are not catered for.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</si>
</sst>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_(* #,##0.0_);_(* \(#,##0.0\);_(* &quot;-&quot;??_);_(@_)"/>
    <numFmt numFmtId="165" formatCode="_(* #,##0_);_(* \(#,##0\);_(* &quot;-&quot;??_);_(@_)"/>
    <numFmt numFmtId="166" formatCode="0.0%"/>
    <numFmt numFmtId="167" formatCode="#,##0.0_);\(#,##0.0\)"/>
    <numFmt numFmtId="168" formatCode="0.000%"/>
    <numFmt numFmtId="169" formatCode="&quot;£&quot;#,##0"/>
    <numFmt numFmtId="170" formatCode="0.0"/>
    <numFmt numFmtId="171" formatCode="#,##0.0"/>
    <numFmt numFmtId="172" formatCode="&quot;£&quot;#,##0.00"/>
  </numFmts>
  <fonts count="47">
    <font>
      <sz val="11"/>
      <color theme="1"/>
      <name val="Calibri"/>
      <family val="2"/>
      <scheme val="minor"/>
    </font>
    <font>
      <sz val="12"/>
      <color theme="1"/>
      <name val="Calibri"/>
      <family val="2"/>
      <scheme val="minor"/>
    </font>
    <font>
      <sz val="11"/>
      <color theme="1"/>
      <name val="Times New Roman"/>
      <family val="1"/>
    </font>
    <font>
      <b/>
      <sz val="11"/>
      <color theme="1"/>
      <name val="Times New Roman"/>
      <family val="1"/>
    </font>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b/>
      <sz val="14"/>
      <color theme="1"/>
      <name val="Calibri"/>
      <family val="2"/>
      <scheme val="minor"/>
    </font>
    <font>
      <sz val="11"/>
      <color rgb="FF000000"/>
      <name val="Calibri"/>
      <family val="2"/>
      <scheme val="minor"/>
    </font>
    <font>
      <b/>
      <sz val="16"/>
      <color theme="1"/>
      <name val="Calibri"/>
      <family val="2"/>
      <scheme val="minor"/>
    </font>
    <font>
      <b/>
      <sz val="18"/>
      <color theme="1"/>
      <name val="Calibri"/>
      <family val="2"/>
      <scheme val="minor"/>
    </font>
    <font>
      <b/>
      <sz val="14"/>
      <color theme="0"/>
      <name val="Times New Roman"/>
      <family val="1"/>
    </font>
    <font>
      <sz val="14"/>
      <color theme="1"/>
      <name val="Calibri"/>
      <family val="2"/>
      <scheme val="minor"/>
    </font>
    <font>
      <b/>
      <sz val="11"/>
      <color theme="0"/>
      <name val="Calibri"/>
      <family val="2"/>
      <scheme val="minor"/>
    </font>
    <font>
      <b/>
      <sz val="22"/>
      <color theme="1"/>
      <name val="Calibri"/>
      <family val="2"/>
      <scheme val="minor"/>
    </font>
    <font>
      <sz val="11"/>
      <name val="Calibri"/>
      <family val="2"/>
      <scheme val="minor"/>
    </font>
    <font>
      <b/>
      <sz val="11"/>
      <color rgb="FFFFFFFF"/>
      <name val="Calibri"/>
      <family val="2"/>
      <scheme val="minor"/>
    </font>
    <font>
      <sz val="11"/>
      <color theme="0"/>
      <name val="Calibri"/>
      <family val="2"/>
      <scheme val="minor"/>
    </font>
    <font>
      <sz val="8"/>
      <color theme="1"/>
      <name val="Calibri"/>
      <family val="2"/>
      <scheme val="minor"/>
    </font>
    <font>
      <b/>
      <sz val="11"/>
      <color rgb="FF000000"/>
      <name val="Calibri"/>
      <family val="2"/>
      <scheme val="minor"/>
    </font>
    <font>
      <b/>
      <sz val="20"/>
      <color theme="1"/>
      <name val="Calibri"/>
      <family val="2"/>
      <scheme val="minor"/>
    </font>
    <font>
      <sz val="16"/>
      <color theme="1"/>
      <name val="Calibri"/>
      <family val="2"/>
      <scheme val="minor"/>
    </font>
    <font>
      <b/>
      <sz val="12"/>
      <color rgb="FFC00000"/>
      <name val="Calibri"/>
      <family val="2"/>
      <scheme val="minor"/>
    </font>
    <font>
      <b/>
      <sz val="14"/>
      <color rgb="FFC00000"/>
      <name val="Calibri"/>
      <family val="2"/>
      <scheme val="minor"/>
    </font>
    <font>
      <b/>
      <sz val="18"/>
      <color theme="0"/>
      <name val="Calibri"/>
      <family val="2"/>
      <scheme val="minor"/>
    </font>
    <font>
      <b/>
      <sz val="18"/>
      <color rgb="FF000000"/>
      <name val="Calibri"/>
      <family val="2"/>
      <scheme val="minor"/>
    </font>
    <font>
      <b/>
      <sz val="24"/>
      <color theme="1"/>
      <name val="Calibri"/>
      <family val="2"/>
      <scheme val="minor"/>
    </font>
    <font>
      <b/>
      <sz val="12"/>
      <color rgb="FF000000"/>
      <name val="Calibri"/>
      <family val="2"/>
      <scheme val="minor"/>
    </font>
    <font>
      <b/>
      <sz val="14"/>
      <color rgb="FF000000"/>
      <name val="Calibri"/>
      <family val="2"/>
      <scheme val="minor"/>
    </font>
    <font>
      <b/>
      <sz val="14"/>
      <color theme="0"/>
      <name val="Calibri"/>
      <family val="2"/>
      <scheme val="minor"/>
    </font>
    <font>
      <b/>
      <sz val="20"/>
      <color theme="0"/>
      <name val="Calibri"/>
      <family val="2"/>
      <scheme val="minor"/>
    </font>
    <font>
      <sz val="18"/>
      <color theme="1"/>
      <name val="Calibri"/>
      <family val="2"/>
      <scheme val="minor"/>
    </font>
    <font>
      <b/>
      <sz val="14"/>
      <color rgb="FFC00000"/>
      <name val="Calibri (Body)_x0000_"/>
    </font>
    <font>
      <b/>
      <i/>
      <sz val="18"/>
      <color rgb="FFFF0000"/>
      <name val="Calibri (Body)_x0000_"/>
    </font>
    <font>
      <sz val="14"/>
      <color theme="0"/>
      <name val="Calibri"/>
      <family val="2"/>
      <scheme val="minor"/>
    </font>
    <font>
      <b/>
      <sz val="16"/>
      <color rgb="FFC00000"/>
      <name val="Calibri"/>
      <family val="2"/>
      <scheme val="minor"/>
    </font>
    <font>
      <b/>
      <sz val="16"/>
      <color rgb="FFC00000"/>
      <name val="Calibri (Body)_x0000_"/>
    </font>
    <font>
      <b/>
      <sz val="16"/>
      <color theme="0"/>
      <name val="Calibri"/>
      <family val="2"/>
      <scheme val="minor"/>
    </font>
    <font>
      <b/>
      <sz val="26"/>
      <color theme="0"/>
      <name val="Calibri"/>
      <family val="2"/>
      <scheme val="minor"/>
    </font>
    <font>
      <b/>
      <sz val="20"/>
      <color rgb="FFFFFF00"/>
      <name val="Calibri (Body)_x0000_"/>
    </font>
    <font>
      <b/>
      <sz val="10"/>
      <color theme="1"/>
      <name val="Calibri"/>
      <family val="2"/>
      <scheme val="minor"/>
    </font>
    <font>
      <b/>
      <sz val="9"/>
      <color rgb="FFC00000"/>
      <name val="Calibri"/>
      <family val="2"/>
      <scheme val="minor"/>
    </font>
    <font>
      <b/>
      <sz val="26"/>
      <color theme="1"/>
      <name val="Calibri"/>
      <family val="2"/>
      <scheme val="minor"/>
    </font>
    <font>
      <b/>
      <sz val="11"/>
      <color rgb="FFC00000"/>
      <name val="Calibri"/>
      <family val="2"/>
      <scheme val="minor"/>
    </font>
    <font>
      <b/>
      <sz val="18"/>
      <color rgb="FFFFFF00"/>
      <name val="Calibri (Body)_x0000_"/>
    </font>
    <font>
      <sz val="18"/>
      <color theme="0"/>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rgb="FF44546A"/>
        <bgColor rgb="FF000000"/>
      </patternFill>
    </fill>
    <fill>
      <patternFill patternType="solid">
        <fgColor rgb="FFFFFF00"/>
        <bgColor rgb="FF000000"/>
      </patternFill>
    </fill>
    <fill>
      <patternFill patternType="solid">
        <fgColor theme="6"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tint="-4.9989318521683403E-2"/>
        <bgColor rgb="FF000000"/>
      </patternFill>
    </fill>
    <fill>
      <patternFill patternType="solid">
        <fgColor rgb="FFFFC000"/>
        <bgColor indexed="64"/>
      </patternFill>
    </fill>
    <fill>
      <patternFill patternType="solid">
        <fgColor theme="2" tint="-9.9978637043366805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medium">
        <color rgb="FF7030A0"/>
      </top>
      <bottom style="medium">
        <color rgb="FF7030A0"/>
      </bottom>
      <diagonal/>
    </border>
    <border>
      <left/>
      <right/>
      <top style="medium">
        <color rgb="FF7030A0"/>
      </top>
      <bottom style="medium">
        <color rgb="FF7030A0"/>
      </bottom>
      <diagonal/>
    </border>
    <border>
      <left style="thin">
        <color indexed="64"/>
      </left>
      <right style="medium">
        <color rgb="FF7030A0"/>
      </right>
      <top style="medium">
        <color rgb="FF7030A0"/>
      </top>
      <bottom style="medium">
        <color rgb="FF7030A0"/>
      </bottom>
      <diagonal/>
    </border>
    <border>
      <left style="thin">
        <color theme="1"/>
      </left>
      <right style="thin">
        <color theme="1"/>
      </right>
      <top style="thin">
        <color theme="1"/>
      </top>
      <bottom style="thin">
        <color theme="1"/>
      </bottom>
      <diagonal/>
    </border>
    <border>
      <left/>
      <right style="thin">
        <color indexed="64"/>
      </right>
      <top style="medium">
        <color rgb="FF7030A0"/>
      </top>
      <bottom style="medium">
        <color rgb="FF7030A0"/>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cellStyleXfs>
  <cellXfs count="803">
    <xf numFmtId="0" fontId="0" fillId="0" borderId="0" xfId="0"/>
    <xf numFmtId="0" fontId="0" fillId="0" borderId="0" xfId="0" applyAlignment="1">
      <alignment horizontal="center" vertical="center" wrapText="1"/>
    </xf>
    <xf numFmtId="0" fontId="5" fillId="0" borderId="0" xfId="0" applyFont="1" applyBorder="1" applyAlignment="1">
      <alignment horizontal="center"/>
    </xf>
    <xf numFmtId="165" fontId="0" fillId="0" borderId="0" xfId="0" applyNumberFormat="1"/>
    <xf numFmtId="0" fontId="3" fillId="0" borderId="0" xfId="0" applyFont="1" applyBorder="1" applyAlignment="1">
      <alignment horizontal="center"/>
    </xf>
    <xf numFmtId="165" fontId="2" fillId="0" borderId="1" xfId="1" applyNumberFormat="1" applyFont="1" applyBorder="1" applyAlignment="1">
      <alignment horizontal="center"/>
    </xf>
    <xf numFmtId="165" fontId="5" fillId="0" borderId="2" xfId="0" applyNumberFormat="1" applyFont="1" applyBorder="1"/>
    <xf numFmtId="1" fontId="0" fillId="0" borderId="1" xfId="0" applyNumberFormat="1" applyBorder="1" applyAlignment="1">
      <alignment horizontal="center"/>
    </xf>
    <xf numFmtId="165" fontId="0" fillId="0" borderId="1" xfId="1" applyNumberFormat="1" applyFont="1" applyBorder="1" applyAlignment="1"/>
    <xf numFmtId="165" fontId="0" fillId="0" borderId="1" xfId="0" applyNumberFormat="1" applyBorder="1"/>
    <xf numFmtId="165" fontId="2" fillId="0" borderId="5" xfId="1" applyNumberFormat="1" applyFont="1" applyBorder="1" applyAlignment="1">
      <alignment horizontal="center"/>
    </xf>
    <xf numFmtId="0" fontId="3" fillId="0" borderId="5" xfId="0" applyFont="1" applyFill="1" applyBorder="1" applyAlignment="1">
      <alignment horizontal="center" vertical="center" wrapText="1"/>
    </xf>
    <xf numFmtId="0" fontId="3" fillId="0" borderId="5" xfId="0" applyFont="1" applyBorder="1" applyAlignment="1">
      <alignment horizontal="center" vertical="center" wrapText="1"/>
    </xf>
    <xf numFmtId="165" fontId="5" fillId="0" borderId="8" xfId="0" applyNumberFormat="1" applyFont="1" applyBorder="1"/>
    <xf numFmtId="9" fontId="0" fillId="0" borderId="0" xfId="2" applyFont="1" applyFill="1" applyBorder="1"/>
    <xf numFmtId="9" fontId="0" fillId="0" borderId="2" xfId="2" applyFont="1" applyFill="1" applyBorder="1" applyAlignment="1"/>
    <xf numFmtId="0" fontId="5" fillId="0" borderId="0" xfId="0" applyFont="1" applyBorder="1" applyAlignment="1">
      <alignment horizontal="center" vertical="center" wrapText="1"/>
    </xf>
    <xf numFmtId="165" fontId="5" fillId="0" borderId="1" xfId="0" applyNumberFormat="1" applyFont="1" applyBorder="1"/>
    <xf numFmtId="9" fontId="0" fillId="0" borderId="1" xfId="2" applyFont="1" applyBorder="1"/>
    <xf numFmtId="0" fontId="8" fillId="0" borderId="0" xfId="0" applyFont="1"/>
    <xf numFmtId="9" fontId="0" fillId="0" borderId="0" xfId="2" applyFont="1"/>
    <xf numFmtId="0" fontId="3" fillId="0" borderId="12" xfId="0" applyFont="1" applyBorder="1" applyAlignment="1">
      <alignment horizontal="center" vertical="center" wrapText="1"/>
    </xf>
    <xf numFmtId="0" fontId="3" fillId="0" borderId="12" xfId="0" applyFont="1" applyFill="1" applyBorder="1" applyAlignment="1">
      <alignment horizontal="center" vertical="center" wrapText="1"/>
    </xf>
    <xf numFmtId="165" fontId="0" fillId="0" borderId="5" xfId="1" applyNumberFormat="1" applyFont="1" applyBorder="1" applyAlignment="1"/>
    <xf numFmtId="165" fontId="0" fillId="0" borderId="5" xfId="0" applyNumberFormat="1" applyBorder="1"/>
    <xf numFmtId="0" fontId="3" fillId="0" borderId="15" xfId="0" applyFont="1" applyFill="1" applyBorder="1" applyAlignment="1">
      <alignment horizontal="center" vertical="center" wrapText="1"/>
    </xf>
    <xf numFmtId="9" fontId="5" fillId="2" borderId="1" xfId="2" applyFont="1" applyFill="1" applyBorder="1" applyAlignment="1">
      <alignment horizontal="center"/>
    </xf>
    <xf numFmtId="0" fontId="3" fillId="2" borderId="2" xfId="0" applyFont="1" applyFill="1" applyBorder="1" applyAlignment="1">
      <alignment horizontal="center" vertical="center" wrapText="1"/>
    </xf>
    <xf numFmtId="165" fontId="5" fillId="0" borderId="0" xfId="0" applyNumberFormat="1" applyFont="1" applyBorder="1"/>
    <xf numFmtId="0" fontId="5" fillId="0" borderId="0" xfId="0" applyFont="1"/>
    <xf numFmtId="0" fontId="7" fillId="8" borderId="1" xfId="0" applyFont="1" applyFill="1" applyBorder="1" applyAlignment="1">
      <alignment horizontal="center" vertical="center" wrapText="1"/>
    </xf>
    <xf numFmtId="0" fontId="0" fillId="0" borderId="11" xfId="0" applyBorder="1" applyAlignment="1">
      <alignment horizontal="center"/>
    </xf>
    <xf numFmtId="166" fontId="0" fillId="0" borderId="1" xfId="2" applyNumberFormat="1" applyFont="1" applyBorder="1" applyAlignment="1">
      <alignment horizontal="center"/>
    </xf>
    <xf numFmtId="0" fontId="0" fillId="0" borderId="5" xfId="0" applyBorder="1" applyAlignment="1">
      <alignment horizontal="center"/>
    </xf>
    <xf numFmtId="165" fontId="5" fillId="0" borderId="29" xfId="0" applyNumberFormat="1" applyFont="1" applyBorder="1"/>
    <xf numFmtId="9" fontId="5" fillId="9" borderId="1" xfId="2" applyFont="1" applyFill="1" applyBorder="1" applyAlignment="1">
      <alignment horizontal="center"/>
    </xf>
    <xf numFmtId="0" fontId="0" fillId="0" borderId="1" xfId="0" applyBorder="1"/>
    <xf numFmtId="0" fontId="13" fillId="0" borderId="0" xfId="0" applyFont="1"/>
    <xf numFmtId="43" fontId="0" fillId="0" borderId="0" xfId="0" applyNumberFormat="1"/>
    <xf numFmtId="0" fontId="5" fillId="0" borderId="0" xfId="0" applyFont="1" applyFill="1" applyBorder="1" applyAlignment="1">
      <alignment horizontal="center" vertical="center" wrapText="1"/>
    </xf>
    <xf numFmtId="9" fontId="5" fillId="12" borderId="1" xfId="2" applyFont="1" applyFill="1" applyBorder="1" applyAlignment="1">
      <alignment horizontal="center"/>
    </xf>
    <xf numFmtId="9" fontId="5" fillId="13" borderId="1" xfId="2" applyFont="1" applyFill="1" applyBorder="1" applyAlignment="1">
      <alignment horizontal="center"/>
    </xf>
    <xf numFmtId="165" fontId="12" fillId="11" borderId="2" xfId="1" applyNumberFormat="1" applyFont="1" applyFill="1" applyBorder="1" applyAlignment="1">
      <alignment horizontal="center"/>
    </xf>
    <xf numFmtId="0" fontId="8" fillId="0" borderId="0" xfId="0" applyFont="1" applyBorder="1" applyAlignment="1">
      <alignment horizontal="center" vertical="center" wrapText="1"/>
    </xf>
    <xf numFmtId="0" fontId="15" fillId="0" borderId="0" xfId="0" applyFont="1" applyFill="1" applyBorder="1" applyAlignment="1">
      <alignment horizontal="center"/>
    </xf>
    <xf numFmtId="0" fontId="0" fillId="0" borderId="24" xfId="0" applyBorder="1" applyAlignment="1">
      <alignment horizontal="center"/>
    </xf>
    <xf numFmtId="165" fontId="2" fillId="0" borderId="24" xfId="1" applyNumberFormat="1" applyFont="1" applyBorder="1" applyAlignment="1">
      <alignment horizontal="center"/>
    </xf>
    <xf numFmtId="165" fontId="0" fillId="0" borderId="24" xfId="1" applyNumberFormat="1" applyFont="1" applyBorder="1" applyAlignment="1"/>
    <xf numFmtId="165" fontId="0" fillId="0" borderId="24" xfId="0" applyNumberFormat="1" applyBorder="1"/>
    <xf numFmtId="0" fontId="0" fillId="0" borderId="32" xfId="0" applyBorder="1" applyAlignment="1">
      <alignment horizontal="center"/>
    </xf>
    <xf numFmtId="165" fontId="2" fillId="0" borderId="33" xfId="1" applyNumberFormat="1" applyFont="1" applyBorder="1" applyAlignment="1">
      <alignment horizontal="center"/>
    </xf>
    <xf numFmtId="0" fontId="0" fillId="0" borderId="34" xfId="0" applyBorder="1"/>
    <xf numFmtId="165" fontId="0" fillId="0" borderId="33" xfId="1" applyNumberFormat="1" applyFont="1" applyBorder="1" applyAlignment="1"/>
    <xf numFmtId="165" fontId="0" fillId="0" borderId="33" xfId="0" applyNumberFormat="1" applyBorder="1"/>
    <xf numFmtId="165" fontId="0" fillId="0" borderId="35" xfId="0" applyNumberFormat="1" applyBorder="1"/>
    <xf numFmtId="0" fontId="0" fillId="0" borderId="36" xfId="0" applyBorder="1" applyAlignment="1">
      <alignment horizontal="center" vertical="center" wrapText="1"/>
    </xf>
    <xf numFmtId="0" fontId="5" fillId="0" borderId="36" xfId="0" applyFont="1" applyBorder="1" applyAlignment="1">
      <alignment horizontal="center"/>
    </xf>
    <xf numFmtId="0" fontId="0" fillId="0" borderId="36" xfId="0" applyBorder="1" applyAlignment="1">
      <alignment horizontal="center"/>
    </xf>
    <xf numFmtId="165" fontId="0" fillId="0" borderId="36" xfId="0" applyNumberFormat="1" applyBorder="1"/>
    <xf numFmtId="166" fontId="0" fillId="0" borderId="36" xfId="2" applyNumberFormat="1" applyFont="1" applyBorder="1"/>
    <xf numFmtId="0" fontId="5" fillId="6" borderId="36" xfId="0" applyFont="1" applyFill="1" applyBorder="1"/>
    <xf numFmtId="0" fontId="5" fillId="6" borderId="36" xfId="0" applyFont="1" applyFill="1"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166" fontId="4" fillId="0" borderId="36" xfId="2" applyNumberFormat="1" applyFont="1" applyBorder="1" applyAlignment="1"/>
    <xf numFmtId="165" fontId="0" fillId="0" borderId="36" xfId="0" applyNumberFormat="1" applyFont="1" applyBorder="1" applyAlignment="1"/>
    <xf numFmtId="166" fontId="0" fillId="0" borderId="0" xfId="2" applyNumberFormat="1" applyFont="1"/>
    <xf numFmtId="0" fontId="0" fillId="0" borderId="0" xfId="0" applyBorder="1"/>
    <xf numFmtId="0" fontId="0" fillId="0" borderId="5" xfId="0" applyBorder="1"/>
    <xf numFmtId="0" fontId="14" fillId="16" borderId="1" xfId="0" applyFont="1" applyFill="1" applyBorder="1" applyAlignment="1">
      <alignment horizontal="center"/>
    </xf>
    <xf numFmtId="0" fontId="0" fillId="0" borderId="24" xfId="0" applyFont="1" applyBorder="1" applyAlignment="1">
      <alignment horizontal="center"/>
    </xf>
    <xf numFmtId="0" fontId="0" fillId="0" borderId="12" xfId="0" applyFont="1" applyBorder="1" applyAlignment="1">
      <alignment horizontal="center"/>
    </xf>
    <xf numFmtId="0" fontId="0" fillId="0" borderId="45" xfId="0" applyFont="1" applyFill="1" applyBorder="1" applyAlignment="1">
      <alignment horizontal="center"/>
    </xf>
    <xf numFmtId="0" fontId="0" fillId="0" borderId="12" xfId="0" applyFont="1" applyFill="1" applyBorder="1" applyAlignment="1">
      <alignment horizontal="center"/>
    </xf>
    <xf numFmtId="0" fontId="0" fillId="0" borderId="5" xfId="0" applyFont="1" applyFill="1" applyBorder="1" applyAlignment="1">
      <alignment horizontal="center"/>
    </xf>
    <xf numFmtId="166" fontId="16" fillId="0" borderId="0" xfId="0" applyNumberFormat="1" applyFont="1" applyBorder="1"/>
    <xf numFmtId="9" fontId="16" fillId="0" borderId="0" xfId="0" applyNumberFormat="1" applyFont="1" applyBorder="1"/>
    <xf numFmtId="166" fontId="0" fillId="0" borderId="0" xfId="0" applyNumberFormat="1" applyFont="1" applyBorder="1"/>
    <xf numFmtId="9" fontId="0" fillId="0" borderId="0" xfId="0" applyNumberFormat="1" applyFont="1" applyBorder="1"/>
    <xf numFmtId="9" fontId="0" fillId="0" borderId="49" xfId="0" applyNumberFormat="1" applyFont="1" applyBorder="1"/>
    <xf numFmtId="0" fontId="0" fillId="2" borderId="0" xfId="0" applyFill="1"/>
    <xf numFmtId="0" fontId="0" fillId="0" borderId="1" xfId="0" applyFont="1" applyBorder="1" applyAlignment="1">
      <alignment horizontal="center"/>
    </xf>
    <xf numFmtId="166" fontId="16" fillId="0" borderId="1" xfId="0" applyNumberFormat="1" applyFont="1" applyBorder="1" applyAlignment="1">
      <alignment vertical="center"/>
    </xf>
    <xf numFmtId="0" fontId="0" fillId="0" borderId="1" xfId="0" applyFont="1" applyFill="1" applyBorder="1" applyAlignment="1">
      <alignment horizontal="center"/>
    </xf>
    <xf numFmtId="9" fontId="0" fillId="0" borderId="1" xfId="0" applyNumberFormat="1" applyFont="1" applyFill="1" applyBorder="1"/>
    <xf numFmtId="0" fontId="14" fillId="16" borderId="12" xfId="0" applyFont="1" applyFill="1" applyBorder="1" applyAlignment="1">
      <alignment horizontal="center"/>
    </xf>
    <xf numFmtId="0" fontId="17" fillId="17" borderId="12" xfId="0" applyFont="1" applyFill="1" applyBorder="1" applyAlignment="1">
      <alignment horizontal="center"/>
    </xf>
    <xf numFmtId="0" fontId="9" fillId="0" borderId="5" xfId="0" applyFont="1" applyBorder="1" applyAlignment="1">
      <alignment horizontal="center"/>
    </xf>
    <xf numFmtId="10" fontId="16" fillId="0" borderId="1" xfId="0" applyNumberFormat="1" applyFont="1" applyBorder="1" applyAlignment="1">
      <alignment vertical="center"/>
    </xf>
    <xf numFmtId="10" fontId="16" fillId="0" borderId="1" xfId="0" applyNumberFormat="1" applyFont="1" applyBorder="1"/>
    <xf numFmtId="0" fontId="0" fillId="13" borderId="1" xfId="0" applyFont="1" applyFill="1" applyBorder="1" applyAlignment="1">
      <alignment horizontal="center"/>
    </xf>
    <xf numFmtId="0" fontId="0" fillId="14" borderId="1" xfId="0" applyFont="1" applyFill="1" applyBorder="1" applyAlignment="1">
      <alignment horizontal="center"/>
    </xf>
    <xf numFmtId="0" fontId="9" fillId="14" borderId="5" xfId="0" applyFont="1" applyFill="1" applyBorder="1" applyAlignment="1">
      <alignment horizontal="center"/>
    </xf>
    <xf numFmtId="166" fontId="0" fillId="0" borderId="1" xfId="2" applyNumberFormat="1" applyFont="1" applyBorder="1"/>
    <xf numFmtId="166" fontId="7" fillId="0" borderId="1" xfId="2" applyNumberFormat="1" applyFont="1" applyBorder="1" applyAlignment="1">
      <alignment horizontal="center"/>
    </xf>
    <xf numFmtId="10" fontId="9" fillId="0" borderId="38" xfId="0" applyNumberFormat="1" applyFont="1" applyBorder="1"/>
    <xf numFmtId="168" fontId="0" fillId="0" borderId="0" xfId="2" applyNumberFormat="1" applyFont="1"/>
    <xf numFmtId="0" fontId="0" fillId="0" borderId="1" xfId="0"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1" xfId="0" applyBorder="1" applyAlignment="1">
      <alignment horizontal="center" vertical="center" wrapText="1"/>
    </xf>
    <xf numFmtId="0" fontId="0" fillId="0" borderId="0" xfId="0" applyFont="1"/>
    <xf numFmtId="169" fontId="14" fillId="16" borderId="10" xfId="0" applyNumberFormat="1" applyFont="1" applyFill="1" applyBorder="1" applyAlignment="1">
      <alignment horizontal="center"/>
    </xf>
    <xf numFmtId="0" fontId="14" fillId="16" borderId="10" xfId="0" applyFont="1" applyFill="1" applyBorder="1" applyAlignment="1">
      <alignment horizontal="center"/>
    </xf>
    <xf numFmtId="169" fontId="14" fillId="16" borderId="11" xfId="0" applyNumberFormat="1" applyFont="1" applyFill="1" applyBorder="1" applyAlignment="1">
      <alignment horizontal="center"/>
    </xf>
    <xf numFmtId="0" fontId="18" fillId="16" borderId="1" xfId="0" applyFont="1" applyFill="1" applyBorder="1"/>
    <xf numFmtId="0" fontId="0" fillId="0" borderId="48" xfId="0" applyFont="1" applyBorder="1"/>
    <xf numFmtId="166" fontId="0" fillId="0" borderId="32" xfId="2" applyNumberFormat="1" applyFont="1" applyBorder="1"/>
    <xf numFmtId="2" fontId="16" fillId="0" borderId="48" xfId="3" applyNumberFormat="1" applyFont="1" applyBorder="1" applyAlignment="1">
      <alignment vertical="center"/>
    </xf>
    <xf numFmtId="2" fontId="0" fillId="0" borderId="32" xfId="3" applyNumberFormat="1" applyFont="1" applyBorder="1"/>
    <xf numFmtId="9" fontId="0" fillId="0" borderId="24" xfId="2" applyFont="1" applyBorder="1"/>
    <xf numFmtId="0" fontId="0" fillId="0" borderId="0" xfId="0" applyFont="1" applyBorder="1"/>
    <xf numFmtId="166" fontId="0" fillId="0" borderId="15" xfId="2" applyNumberFormat="1" applyFont="1" applyBorder="1"/>
    <xf numFmtId="2" fontId="16" fillId="0" borderId="0" xfId="3" applyNumberFormat="1" applyFont="1" applyBorder="1" applyAlignment="1">
      <alignment vertical="center"/>
    </xf>
    <xf numFmtId="2" fontId="0" fillId="0" borderId="15" xfId="3" applyNumberFormat="1" applyFont="1" applyBorder="1"/>
    <xf numFmtId="9" fontId="0" fillId="0" borderId="12" xfId="2" applyFont="1" applyBorder="1"/>
    <xf numFmtId="2" fontId="16" fillId="0" borderId="0" xfId="3" applyNumberFormat="1" applyFont="1" applyBorder="1"/>
    <xf numFmtId="2" fontId="0" fillId="0" borderId="0" xfId="3" applyNumberFormat="1" applyFont="1" applyBorder="1"/>
    <xf numFmtId="0" fontId="0" fillId="0" borderId="45" xfId="0" applyFont="1" applyBorder="1"/>
    <xf numFmtId="0" fontId="0" fillId="0" borderId="49" xfId="0" applyFont="1" applyBorder="1"/>
    <xf numFmtId="166" fontId="0" fillId="0" borderId="38" xfId="2" applyNumberFormat="1" applyFont="1" applyBorder="1"/>
    <xf numFmtId="0" fontId="0" fillId="0" borderId="5" xfId="0" applyFont="1" applyBorder="1" applyAlignment="1">
      <alignment horizontal="center"/>
    </xf>
    <xf numFmtId="2" fontId="0" fillId="0" borderId="49" xfId="3" applyNumberFormat="1" applyFont="1" applyBorder="1"/>
    <xf numFmtId="2" fontId="0" fillId="0" borderId="38" xfId="3" applyNumberFormat="1" applyFont="1" applyBorder="1"/>
    <xf numFmtId="9" fontId="0" fillId="0" borderId="5" xfId="2" applyFont="1" applyBorder="1"/>
    <xf numFmtId="0" fontId="0" fillId="0" borderId="0" xfId="0" applyFont="1" applyBorder="1" applyAlignment="1">
      <alignment horizontal="center"/>
    </xf>
    <xf numFmtId="0" fontId="19" fillId="0" borderId="0" xfId="0" applyFont="1" applyBorder="1"/>
    <xf numFmtId="9" fontId="0" fillId="0" borderId="0" xfId="2" applyFont="1" applyBorder="1"/>
    <xf numFmtId="2" fontId="0" fillId="0" borderId="0" xfId="3" applyNumberFormat="1" applyFont="1"/>
    <xf numFmtId="9" fontId="0" fillId="0" borderId="0" xfId="2" applyFont="1" applyAlignment="1">
      <alignment horizontal="left"/>
    </xf>
    <xf numFmtId="0" fontId="8" fillId="2" borderId="1" xfId="0" applyFont="1" applyFill="1" applyBorder="1"/>
    <xf numFmtId="0" fontId="5" fillId="0" borderId="52" xfId="0" applyFont="1" applyBorder="1" applyAlignment="1">
      <alignment horizontal="center" vertical="center"/>
    </xf>
    <xf numFmtId="0" fontId="0" fillId="0" borderId="1" xfId="0" applyBorder="1" applyAlignment="1">
      <alignment horizontal="center" vertical="center"/>
    </xf>
    <xf numFmtId="0" fontId="0" fillId="0" borderId="52" xfId="0" applyFont="1" applyBorder="1" applyAlignment="1"/>
    <xf numFmtId="0" fontId="0" fillId="0" borderId="12" xfId="0" applyBorder="1" applyAlignment="1">
      <alignment horizontal="center"/>
    </xf>
    <xf numFmtId="0" fontId="5" fillId="0" borderId="36" xfId="0" applyFont="1" applyBorder="1" applyAlignment="1">
      <alignment horizontal="center" vertical="center" wrapText="1"/>
    </xf>
    <xf numFmtId="0" fontId="0" fillId="2" borderId="1" xfId="0" applyFill="1" applyBorder="1"/>
    <xf numFmtId="0" fontId="0" fillId="2" borderId="1" xfId="0" applyFill="1" applyBorder="1" applyAlignment="1">
      <alignment horizontal="center"/>
    </xf>
    <xf numFmtId="43" fontId="0" fillId="2" borderId="1" xfId="0" applyNumberFormat="1" applyFill="1" applyBorder="1"/>
    <xf numFmtId="165" fontId="0" fillId="2" borderId="1" xfId="0" applyNumberFormat="1" applyFill="1" applyBorder="1"/>
    <xf numFmtId="166" fontId="0" fillId="0" borderId="0" xfId="0" applyNumberFormat="1"/>
    <xf numFmtId="9" fontId="5" fillId="8" borderId="1" xfId="2" applyFont="1" applyFill="1" applyBorder="1" applyAlignment="1">
      <alignment horizontal="center"/>
    </xf>
    <xf numFmtId="0" fontId="13" fillId="0" borderId="0" xfId="0" applyFont="1" applyBorder="1" applyAlignment="1">
      <alignment horizontal="right"/>
    </xf>
    <xf numFmtId="0" fontId="0" fillId="0" borderId="0" xfId="0" applyBorder="1" applyAlignment="1">
      <alignment horizontal="right"/>
    </xf>
    <xf numFmtId="0" fontId="13" fillId="0" borderId="0" xfId="0" applyFont="1" applyBorder="1"/>
    <xf numFmtId="0" fontId="0" fillId="0" borderId="16" xfId="0" applyBorder="1"/>
    <xf numFmtId="0" fontId="0" fillId="0" borderId="25" xfId="0" applyBorder="1"/>
    <xf numFmtId="0" fontId="0" fillId="0" borderId="26" xfId="0" applyBorder="1"/>
    <xf numFmtId="0" fontId="0" fillId="0" borderId="46" xfId="0" applyBorder="1"/>
    <xf numFmtId="0" fontId="13" fillId="0" borderId="43" xfId="0" applyFont="1" applyBorder="1" applyAlignment="1">
      <alignment horizontal="right"/>
    </xf>
    <xf numFmtId="0" fontId="13" fillId="0" borderId="43" xfId="0" applyFont="1" applyBorder="1"/>
    <xf numFmtId="0" fontId="0" fillId="0" borderId="43" xfId="0" applyBorder="1"/>
    <xf numFmtId="0" fontId="0" fillId="0" borderId="47" xfId="0" applyBorder="1"/>
    <xf numFmtId="0" fontId="0" fillId="0" borderId="29" xfId="0" applyBorder="1"/>
    <xf numFmtId="10" fontId="5" fillId="0" borderId="1" xfId="0" applyNumberFormat="1" applyFont="1" applyFill="1" applyBorder="1" applyAlignment="1">
      <alignment horizontal="center"/>
    </xf>
    <xf numFmtId="168" fontId="16" fillId="0" borderId="48" xfId="0" applyNumberFormat="1" applyFont="1" applyBorder="1" applyAlignment="1">
      <alignment vertical="center"/>
    </xf>
    <xf numFmtId="168" fontId="16" fillId="0" borderId="0" xfId="0" applyNumberFormat="1" applyFont="1" applyBorder="1" applyAlignment="1">
      <alignment vertical="center"/>
    </xf>
    <xf numFmtId="168" fontId="16" fillId="0" borderId="0" xfId="0" applyNumberFormat="1" applyFont="1" applyBorder="1"/>
    <xf numFmtId="168" fontId="0" fillId="0" borderId="0" xfId="0" applyNumberFormat="1" applyFont="1" applyBorder="1"/>
    <xf numFmtId="168" fontId="0" fillId="0" borderId="49" xfId="0" applyNumberFormat="1" applyFont="1" applyBorder="1"/>
    <xf numFmtId="0" fontId="5" fillId="0" borderId="0" xfId="0" applyFont="1" applyAlignment="1">
      <alignment horizontal="center"/>
    </xf>
    <xf numFmtId="9" fontId="0" fillId="0" borderId="0" xfId="0" applyNumberFormat="1"/>
    <xf numFmtId="0" fontId="5" fillId="0" borderId="1" xfId="0" applyFont="1" applyBorder="1" applyAlignment="1">
      <alignment horizontal="center"/>
    </xf>
    <xf numFmtId="0" fontId="0" fillId="0" borderId="0" xfId="0" applyBorder="1" applyAlignment="1">
      <alignment horizontal="center"/>
    </xf>
    <xf numFmtId="5" fontId="8" fillId="8" borderId="1" xfId="1" applyNumberFormat="1" applyFont="1" applyFill="1" applyBorder="1" applyAlignment="1">
      <alignment horizontal="center" vertical="center"/>
    </xf>
    <xf numFmtId="0" fontId="7" fillId="3" borderId="1" xfId="0" applyFont="1" applyFill="1" applyBorder="1" applyAlignment="1">
      <alignment horizontal="center" vertical="center" wrapText="1"/>
    </xf>
    <xf numFmtId="10" fontId="0" fillId="0" borderId="0" xfId="2" applyNumberFormat="1" applyFont="1"/>
    <xf numFmtId="0" fontId="0" fillId="2" borderId="0" xfId="0" applyFill="1" applyBorder="1"/>
    <xf numFmtId="43" fontId="0" fillId="2" borderId="0" xfId="0" applyNumberFormat="1" applyFill="1" applyBorder="1"/>
    <xf numFmtId="2" fontId="0" fillId="0" borderId="0" xfId="0" applyNumberFormat="1"/>
    <xf numFmtId="0" fontId="14" fillId="16" borderId="24" xfId="0" applyFont="1" applyFill="1" applyBorder="1" applyAlignment="1">
      <alignment horizontal="center"/>
    </xf>
    <xf numFmtId="169" fontId="14" fillId="16" borderId="48" xfId="0" applyNumberFormat="1" applyFont="1" applyFill="1" applyBorder="1" applyAlignment="1">
      <alignment horizontal="center"/>
    </xf>
    <xf numFmtId="0" fontId="14" fillId="16" borderId="48" xfId="0" applyFont="1" applyFill="1" applyBorder="1" applyAlignment="1">
      <alignment horizontal="center"/>
    </xf>
    <xf numFmtId="169" fontId="14" fillId="16" borderId="32" xfId="0" applyNumberFormat="1" applyFont="1" applyFill="1" applyBorder="1" applyAlignment="1">
      <alignment horizontal="center"/>
    </xf>
    <xf numFmtId="0" fontId="18" fillId="16" borderId="24" xfId="0" applyFont="1" applyFill="1" applyBorder="1"/>
    <xf numFmtId="0" fontId="20" fillId="0" borderId="0" xfId="0" applyFont="1"/>
    <xf numFmtId="0" fontId="9" fillId="0" borderId="0" xfId="0" applyFont="1"/>
    <xf numFmtId="0" fontId="20" fillId="0" borderId="49" xfId="0" applyFont="1" applyBorder="1"/>
    <xf numFmtId="0" fontId="9" fillId="0" borderId="49" xfId="0" applyFont="1" applyBorder="1"/>
    <xf numFmtId="0" fontId="20" fillId="0" borderId="0" xfId="0" applyFont="1" applyAlignment="1">
      <alignment horizontal="center"/>
    </xf>
    <xf numFmtId="170" fontId="9" fillId="0" borderId="0" xfId="0" applyNumberFormat="1" applyFont="1"/>
    <xf numFmtId="0" fontId="21" fillId="0" borderId="0" xfId="0" applyFont="1" applyBorder="1"/>
    <xf numFmtId="166" fontId="0" fillId="0" borderId="1" xfId="0" applyNumberFormat="1" applyFont="1" applyFill="1" applyBorder="1"/>
    <xf numFmtId="166" fontId="0" fillId="19" borderId="1" xfId="0" applyNumberFormat="1" applyFont="1" applyFill="1" applyBorder="1" applyAlignment="1">
      <alignment horizontal="right" indent="3"/>
    </xf>
    <xf numFmtId="166" fontId="9" fillId="0" borderId="1" xfId="0" applyNumberFormat="1" applyFont="1" applyBorder="1" applyAlignment="1">
      <alignment horizontal="center"/>
    </xf>
    <xf numFmtId="0" fontId="0" fillId="0" borderId="0" xfId="0" applyFont="1" applyFill="1" applyBorder="1" applyAlignment="1">
      <alignment horizontal="center"/>
    </xf>
    <xf numFmtId="0" fontId="8" fillId="0" borderId="0" xfId="0" applyFont="1" applyAlignment="1">
      <alignment horizontal="center"/>
    </xf>
    <xf numFmtId="0" fontId="8" fillId="0" borderId="0" xfId="0" applyFont="1" applyBorder="1"/>
    <xf numFmtId="0" fontId="1" fillId="0" borderId="0" xfId="0" applyFont="1"/>
    <xf numFmtId="5" fontId="8" fillId="22" borderId="1" xfId="0" applyNumberFormat="1" applyFont="1" applyFill="1" applyBorder="1"/>
    <xf numFmtId="166" fontId="0" fillId="0" borderId="1" xfId="0" applyNumberFormat="1" applyBorder="1" applyAlignment="1">
      <alignment horizontal="center"/>
    </xf>
    <xf numFmtId="0" fontId="13" fillId="0" borderId="0" xfId="0" applyFont="1" applyAlignment="1">
      <alignment horizontal="center"/>
    </xf>
    <xf numFmtId="166" fontId="8" fillId="10" borderId="1" xfId="2" applyNumberFormat="1" applyFont="1" applyFill="1" applyBorder="1" applyAlignment="1">
      <alignment horizontal="center"/>
    </xf>
    <xf numFmtId="166" fontId="8" fillId="10" borderId="5" xfId="2" applyNumberFormat="1" applyFont="1" applyFill="1" applyBorder="1" applyAlignment="1">
      <alignment horizontal="center"/>
    </xf>
    <xf numFmtId="0" fontId="8" fillId="0" borderId="41" xfId="0" applyFont="1" applyBorder="1" applyAlignment="1">
      <alignment horizontal="center"/>
    </xf>
    <xf numFmtId="0" fontId="8" fillId="0" borderId="20" xfId="0" applyFont="1" applyBorder="1" applyAlignment="1">
      <alignment horizontal="center"/>
    </xf>
    <xf numFmtId="166" fontId="8" fillId="10" borderId="21" xfId="2" applyNumberFormat="1" applyFont="1" applyFill="1" applyBorder="1" applyAlignment="1">
      <alignment horizontal="center"/>
    </xf>
    <xf numFmtId="0" fontId="8" fillId="0" borderId="30" xfId="0" applyFont="1" applyBorder="1" applyAlignment="1">
      <alignment horizontal="center"/>
    </xf>
    <xf numFmtId="0" fontId="8" fillId="0" borderId="18" xfId="0" applyFont="1" applyFill="1" applyBorder="1" applyAlignment="1">
      <alignment horizontal="right"/>
    </xf>
    <xf numFmtId="0" fontId="8" fillId="0" borderId="47" xfId="0" applyFont="1" applyFill="1" applyBorder="1" applyAlignment="1">
      <alignment horizontal="right"/>
    </xf>
    <xf numFmtId="0" fontId="0" fillId="0" borderId="47" xfId="0" applyFill="1" applyBorder="1"/>
    <xf numFmtId="5" fontId="8" fillId="0" borderId="47" xfId="1" applyNumberFormat="1" applyFont="1" applyFill="1" applyBorder="1" applyAlignment="1">
      <alignment vertical="center"/>
    </xf>
    <xf numFmtId="0" fontId="13" fillId="0" borderId="47" xfId="0" applyFont="1" applyBorder="1"/>
    <xf numFmtId="0" fontId="11" fillId="0" borderId="0" xfId="0" applyFont="1" applyFill="1" applyBorder="1" applyAlignment="1">
      <alignment vertical="center" wrapText="1"/>
    </xf>
    <xf numFmtId="0" fontId="8" fillId="23" borderId="1" xfId="0" applyFont="1" applyFill="1" applyBorder="1" applyAlignment="1">
      <alignment horizontal="center"/>
    </xf>
    <xf numFmtId="0" fontId="23" fillId="0" borderId="0" xfId="0" applyFont="1" applyBorder="1" applyAlignment="1">
      <alignment horizontal="right"/>
    </xf>
    <xf numFmtId="0" fontId="24" fillId="0" borderId="43" xfId="0" applyFont="1" applyBorder="1"/>
    <xf numFmtId="0" fontId="8" fillId="23" borderId="5" xfId="0" applyFont="1" applyFill="1" applyBorder="1" applyAlignment="1">
      <alignment horizontal="center"/>
    </xf>
    <xf numFmtId="5" fontId="8" fillId="8" borderId="5" xfId="1" applyNumberFormat="1" applyFont="1" applyFill="1" applyBorder="1" applyAlignment="1">
      <alignment horizontal="center" vertical="center"/>
    </xf>
    <xf numFmtId="5" fontId="8" fillId="3" borderId="5" xfId="1" applyNumberFormat="1" applyFont="1" applyFill="1" applyBorder="1" applyAlignment="1">
      <alignment horizontal="center" vertical="center"/>
    </xf>
    <xf numFmtId="5" fontId="8" fillId="6" borderId="5" xfId="1" applyNumberFormat="1" applyFont="1" applyFill="1" applyBorder="1" applyAlignment="1">
      <alignment horizontal="center" vertical="center"/>
    </xf>
    <xf numFmtId="5" fontId="8" fillId="3" borderId="1" xfId="1" applyNumberFormat="1" applyFont="1" applyFill="1" applyBorder="1" applyAlignment="1">
      <alignment horizontal="center" vertical="center"/>
    </xf>
    <xf numFmtId="5" fontId="8" fillId="6" borderId="1" xfId="1" applyNumberFormat="1" applyFont="1" applyFill="1" applyBorder="1" applyAlignment="1">
      <alignment horizontal="center" vertical="center"/>
    </xf>
    <xf numFmtId="5" fontId="8" fillId="8" borderId="21" xfId="1" applyNumberFormat="1" applyFont="1" applyFill="1" applyBorder="1" applyAlignment="1">
      <alignment horizontal="center" vertical="center"/>
    </xf>
    <xf numFmtId="5" fontId="8" fillId="3" borderId="21" xfId="1" applyNumberFormat="1" applyFont="1" applyFill="1" applyBorder="1" applyAlignment="1">
      <alignment horizontal="center" vertical="center"/>
    </xf>
    <xf numFmtId="5" fontId="8" fillId="6" borderId="21" xfId="1" applyNumberFormat="1" applyFont="1" applyFill="1" applyBorder="1" applyAlignment="1">
      <alignment horizontal="center" vertical="center"/>
    </xf>
    <xf numFmtId="10" fontId="0" fillId="0" borderId="0" xfId="0" applyNumberFormat="1"/>
    <xf numFmtId="0" fontId="8" fillId="10" borderId="1" xfId="0" applyFont="1" applyFill="1" applyBorder="1" applyAlignment="1">
      <alignment horizontal="center"/>
    </xf>
    <xf numFmtId="5" fontId="13" fillId="0" borderId="1" xfId="0" applyNumberFormat="1" applyFont="1" applyBorder="1" applyAlignment="1">
      <alignment horizontal="center"/>
    </xf>
    <xf numFmtId="9" fontId="0" fillId="0" borderId="1" xfId="0" applyNumberFormat="1" applyFont="1" applyBorder="1" applyAlignment="1">
      <alignment horizontal="center"/>
    </xf>
    <xf numFmtId="0" fontId="24" fillId="0" borderId="43" xfId="0" applyFont="1" applyBorder="1" applyAlignment="1">
      <alignment horizontal="center"/>
    </xf>
    <xf numFmtId="0" fontId="13" fillId="0" borderId="18" xfId="0" applyFont="1" applyBorder="1"/>
    <xf numFmtId="0" fontId="7" fillId="0" borderId="1" xfId="0" applyFont="1" applyBorder="1" applyAlignment="1">
      <alignment horizontal="center"/>
    </xf>
    <xf numFmtId="5" fontId="8" fillId="3" borderId="1" xfId="0" applyNumberFormat="1" applyFont="1" applyFill="1" applyBorder="1"/>
    <xf numFmtId="0" fontId="8" fillId="0" borderId="0" xfId="0" applyFont="1" applyAlignment="1"/>
    <xf numFmtId="0" fontId="0" fillId="0" borderId="0" xfId="0" applyFill="1"/>
    <xf numFmtId="9" fontId="8" fillId="10" borderId="0" xfId="2" applyFont="1" applyFill="1" applyAlignment="1">
      <alignment horizontal="center"/>
    </xf>
    <xf numFmtId="9" fontId="0" fillId="0" borderId="1" xfId="2" applyNumberFormat="1" applyFont="1" applyFill="1" applyBorder="1"/>
    <xf numFmtId="0" fontId="0" fillId="0" borderId="1" xfId="0" applyFill="1" applyBorder="1"/>
    <xf numFmtId="9" fontId="0" fillId="0" borderId="0" xfId="2" applyFont="1" applyFill="1" applyBorder="1" applyAlignment="1"/>
    <xf numFmtId="0" fontId="3" fillId="3" borderId="0" xfId="0" applyFont="1" applyFill="1" applyBorder="1" applyAlignment="1">
      <alignment horizontal="center" vertical="center" wrapText="1"/>
    </xf>
    <xf numFmtId="169" fontId="8" fillId="8" borderId="1" xfId="1" applyNumberFormat="1" applyFont="1" applyFill="1" applyBorder="1" applyAlignment="1">
      <alignment horizontal="center"/>
    </xf>
    <xf numFmtId="169" fontId="0" fillId="0" borderId="0" xfId="0" applyNumberFormat="1"/>
    <xf numFmtId="169" fontId="8" fillId="3" borderId="1" xfId="1" applyNumberFormat="1" applyFont="1" applyFill="1" applyBorder="1" applyAlignment="1">
      <alignment horizontal="center"/>
    </xf>
    <xf numFmtId="0" fontId="8" fillId="20" borderId="1" xfId="0" applyFont="1" applyFill="1" applyBorder="1" applyAlignment="1">
      <alignment horizontal="center"/>
    </xf>
    <xf numFmtId="0" fontId="8" fillId="2" borderId="11" xfId="0" applyFont="1" applyFill="1" applyBorder="1" applyAlignment="1">
      <alignment horizontal="center"/>
    </xf>
    <xf numFmtId="0" fontId="7" fillId="10" borderId="1" xfId="0" applyFont="1" applyFill="1" applyBorder="1" applyAlignment="1">
      <alignment horizontal="center" vertical="center" wrapText="1"/>
    </xf>
    <xf numFmtId="0" fontId="7" fillId="21" borderId="1" xfId="0" applyFont="1" applyFill="1" applyBorder="1" applyAlignment="1">
      <alignment horizontal="center" vertical="center" wrapText="1"/>
    </xf>
    <xf numFmtId="0" fontId="25" fillId="4" borderId="0" xfId="0" applyFont="1" applyFill="1" applyBorder="1" applyAlignment="1">
      <alignment horizontal="center"/>
    </xf>
    <xf numFmtId="9" fontId="0" fillId="0" borderId="0" xfId="2" applyFont="1" applyAlignment="1">
      <alignment horizontal="center"/>
    </xf>
    <xf numFmtId="0" fontId="0" fillId="20" borderId="1" xfId="0" applyFont="1" applyFill="1" applyBorder="1" applyAlignment="1">
      <alignment horizontal="center"/>
    </xf>
    <xf numFmtId="0" fontId="5" fillId="20" borderId="12" xfId="0" applyFont="1" applyFill="1" applyBorder="1" applyAlignment="1">
      <alignment horizontal="center"/>
    </xf>
    <xf numFmtId="10" fontId="0" fillId="0" borderId="32" xfId="2" applyNumberFormat="1" applyFont="1" applyBorder="1" applyAlignment="1">
      <alignment horizontal="center"/>
    </xf>
    <xf numFmtId="10" fontId="0" fillId="0" borderId="15" xfId="2" applyNumberFormat="1" applyFont="1" applyBorder="1" applyAlignment="1">
      <alignment horizontal="center"/>
    </xf>
    <xf numFmtId="10" fontId="16" fillId="8" borderId="1" xfId="0" applyNumberFormat="1" applyFont="1" applyFill="1" applyBorder="1" applyAlignment="1">
      <alignment horizontal="center" vertical="center"/>
    </xf>
    <xf numFmtId="0" fontId="13" fillId="0" borderId="1" xfId="0" applyFont="1" applyBorder="1" applyAlignment="1">
      <alignment horizontal="center"/>
    </xf>
    <xf numFmtId="0" fontId="8" fillId="8" borderId="1" xfId="0" applyFont="1" applyFill="1" applyBorder="1" applyAlignment="1">
      <alignment horizontal="center"/>
    </xf>
    <xf numFmtId="0" fontId="0" fillId="0" borderId="1" xfId="0" applyBorder="1" applyAlignment="1">
      <alignment horizontal="center" vertical="center" wrapText="1"/>
    </xf>
    <xf numFmtId="0" fontId="8" fillId="0" borderId="0" xfId="0" applyFont="1" applyAlignment="1">
      <alignment horizontal="center"/>
    </xf>
    <xf numFmtId="0" fontId="3" fillId="0" borderId="1" xfId="0" applyFont="1" applyFill="1" applyBorder="1" applyAlignment="1">
      <alignment horizontal="center" vertical="center" wrapText="1"/>
    </xf>
    <xf numFmtId="0" fontId="9" fillId="18" borderId="24" xfId="0" applyFont="1" applyFill="1" applyBorder="1"/>
    <xf numFmtId="0" fontId="9" fillId="18" borderId="5" xfId="0" applyFont="1" applyFill="1" applyBorder="1"/>
    <xf numFmtId="168" fontId="0" fillId="0" borderId="1" xfId="2" applyNumberFormat="1" applyFont="1" applyBorder="1"/>
    <xf numFmtId="168" fontId="0" fillId="14" borderId="1" xfId="2" applyNumberFormat="1" applyFont="1" applyFill="1" applyBorder="1"/>
    <xf numFmtId="9" fontId="2" fillId="0" borderId="1" xfId="2" applyFont="1" applyBorder="1" applyAlignment="1">
      <alignment horizontal="right"/>
    </xf>
    <xf numFmtId="0" fontId="3" fillId="3" borderId="3" xfId="0" applyFont="1" applyFill="1" applyBorder="1" applyAlignment="1">
      <alignment horizontal="center" vertical="center" wrapText="1"/>
    </xf>
    <xf numFmtId="0" fontId="3" fillId="3" borderId="13" xfId="0" applyFont="1" applyFill="1" applyBorder="1" applyAlignment="1">
      <alignment horizontal="center" vertical="center" wrapText="1"/>
    </xf>
    <xf numFmtId="9" fontId="2" fillId="0" borderId="11" xfId="2" applyFont="1" applyBorder="1" applyAlignment="1">
      <alignment horizontal="right"/>
    </xf>
    <xf numFmtId="0" fontId="6" fillId="11" borderId="16" xfId="0" applyFont="1" applyFill="1" applyBorder="1" applyAlignment="1">
      <alignment horizontal="center"/>
    </xf>
    <xf numFmtId="0" fontId="6" fillId="11" borderId="25" xfId="0" applyFont="1" applyFill="1" applyBorder="1" applyAlignment="1">
      <alignment horizontal="center"/>
    </xf>
    <xf numFmtId="0" fontId="3" fillId="0" borderId="25" xfId="0" applyFont="1" applyBorder="1" applyAlignment="1">
      <alignment horizontal="center"/>
    </xf>
    <xf numFmtId="166" fontId="5" fillId="0" borderId="19" xfId="2" applyNumberFormat="1" applyFont="1" applyBorder="1" applyAlignment="1">
      <alignment horizontal="center"/>
    </xf>
    <xf numFmtId="0" fontId="0" fillId="0" borderId="56" xfId="0" applyBorder="1" applyAlignment="1">
      <alignment horizontal="center"/>
    </xf>
    <xf numFmtId="165" fontId="2" fillId="0" borderId="42" xfId="1" applyNumberFormat="1" applyFont="1" applyBorder="1" applyAlignment="1">
      <alignment horizontal="right"/>
    </xf>
    <xf numFmtId="0" fontId="0" fillId="0" borderId="57" xfId="0" applyBorder="1" applyAlignment="1">
      <alignment horizontal="center"/>
    </xf>
    <xf numFmtId="0" fontId="0" fillId="0" borderId="58" xfId="0" applyBorder="1" applyAlignment="1">
      <alignment horizontal="center"/>
    </xf>
    <xf numFmtId="0" fontId="0" fillId="0" borderId="39" xfId="0" applyBorder="1" applyAlignment="1">
      <alignment horizontal="center"/>
    </xf>
    <xf numFmtId="165" fontId="2" fillId="0" borderId="21" xfId="1" applyNumberFormat="1" applyFont="1" applyBorder="1" applyAlignment="1">
      <alignment horizontal="center"/>
    </xf>
    <xf numFmtId="166" fontId="7" fillId="0" borderId="21" xfId="2" applyNumberFormat="1" applyFont="1" applyBorder="1" applyAlignment="1">
      <alignment horizontal="center"/>
    </xf>
    <xf numFmtId="165" fontId="2" fillId="0" borderId="22" xfId="1" applyNumberFormat="1" applyFont="1" applyBorder="1" applyAlignment="1">
      <alignment horizontal="right"/>
    </xf>
    <xf numFmtId="167" fontId="21" fillId="2" borderId="1" xfId="1" applyNumberFormat="1" applyFont="1" applyFill="1" applyBorder="1" applyAlignment="1">
      <alignment horizontal="center" vertical="center"/>
    </xf>
    <xf numFmtId="5" fontId="0" fillId="0" borderId="0" xfId="0" applyNumberFormat="1" applyBorder="1"/>
    <xf numFmtId="169" fontId="0" fillId="0" borderId="1" xfId="0" applyNumberFormat="1" applyBorder="1"/>
    <xf numFmtId="164" fontId="0" fillId="0" borderId="0" xfId="0" applyNumberFormat="1"/>
    <xf numFmtId="0" fontId="13" fillId="0" borderId="41" xfId="0" applyFont="1" applyBorder="1" applyAlignment="1">
      <alignment horizontal="center"/>
    </xf>
    <xf numFmtId="169" fontId="13" fillId="0" borderId="1" xfId="0" applyNumberFormat="1" applyFont="1" applyBorder="1" applyAlignment="1">
      <alignment horizontal="right"/>
    </xf>
    <xf numFmtId="0" fontId="13" fillId="0" borderId="44" xfId="0" applyFont="1" applyBorder="1" applyAlignment="1">
      <alignment horizontal="center"/>
    </xf>
    <xf numFmtId="169" fontId="13" fillId="0" borderId="24" xfId="0" applyNumberFormat="1" applyFont="1" applyBorder="1" applyAlignment="1">
      <alignment horizontal="right"/>
    </xf>
    <xf numFmtId="169" fontId="13" fillId="0" borderId="21" xfId="0" applyNumberFormat="1" applyFont="1" applyBorder="1" applyAlignment="1">
      <alignment horizontal="right"/>
    </xf>
    <xf numFmtId="169" fontId="13" fillId="0" borderId="0" xfId="0" applyNumberFormat="1" applyFont="1"/>
    <xf numFmtId="0" fontId="13" fillId="0" borderId="2" xfId="0" applyFont="1" applyBorder="1" applyAlignment="1">
      <alignment horizontal="center" vertical="center" wrapText="1"/>
    </xf>
    <xf numFmtId="169" fontId="13" fillId="0" borderId="9" xfId="0" applyNumberFormat="1" applyFont="1" applyBorder="1" applyAlignment="1">
      <alignment horizontal="right"/>
    </xf>
    <xf numFmtId="169" fontId="13" fillId="0" borderId="23" xfId="0" applyNumberFormat="1" applyFont="1" applyBorder="1" applyAlignment="1">
      <alignment horizontal="right"/>
    </xf>
    <xf numFmtId="0" fontId="13" fillId="0" borderId="30" xfId="0" applyFont="1" applyBorder="1" applyAlignment="1">
      <alignment horizontal="center"/>
    </xf>
    <xf numFmtId="169" fontId="13" fillId="0" borderId="5" xfId="0" applyNumberFormat="1" applyFont="1" applyBorder="1" applyAlignment="1">
      <alignment horizontal="right"/>
    </xf>
    <xf numFmtId="169" fontId="13" fillId="0" borderId="53" xfId="0" applyNumberFormat="1" applyFont="1" applyBorder="1" applyAlignment="1">
      <alignment horizontal="right"/>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8" fillId="0" borderId="55" xfId="0" applyFont="1" applyBorder="1"/>
    <xf numFmtId="169" fontId="8" fillId="0" borderId="27" xfId="0" applyNumberFormat="1" applyFont="1" applyBorder="1"/>
    <xf numFmtId="169" fontId="8" fillId="0" borderId="28" xfId="0" applyNumberFormat="1" applyFont="1" applyBorder="1"/>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0" fillId="0" borderId="1" xfId="0" applyBorder="1" applyAlignment="1">
      <alignment horizontal="center"/>
    </xf>
    <xf numFmtId="0" fontId="8" fillId="2" borderId="0" xfId="0" applyFont="1" applyFill="1" applyBorder="1" applyAlignment="1">
      <alignment horizontal="center"/>
    </xf>
    <xf numFmtId="0" fontId="8" fillId="3" borderId="0" xfId="0" applyFont="1" applyFill="1" applyBorder="1" applyAlignment="1">
      <alignment horizontal="center" vertical="center" wrapText="1"/>
    </xf>
    <xf numFmtId="0" fontId="3" fillId="3" borderId="47" xfId="0" applyFont="1" applyFill="1" applyBorder="1" applyAlignment="1">
      <alignment horizontal="center" vertical="center" wrapText="1"/>
    </xf>
    <xf numFmtId="165" fontId="2" fillId="0" borderId="10" xfId="1" applyNumberFormat="1" applyFont="1" applyBorder="1" applyAlignment="1">
      <alignment horizontal="right"/>
    </xf>
    <xf numFmtId="0" fontId="0" fillId="0" borderId="0" xfId="0" applyBorder="1" applyAlignment="1">
      <alignment horizontal="center" vertical="center" wrapText="1"/>
    </xf>
    <xf numFmtId="165" fontId="0" fillId="0" borderId="0" xfId="0" applyNumberFormat="1" applyBorder="1"/>
    <xf numFmtId="0" fontId="3" fillId="3" borderId="1"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3" fillId="0" borderId="1" xfId="0" applyFont="1" applyBorder="1" applyAlignment="1">
      <alignment horizontal="center"/>
    </xf>
    <xf numFmtId="0" fontId="3" fillId="0" borderId="24" xfId="0" applyFont="1" applyBorder="1" applyAlignment="1">
      <alignment horizontal="center"/>
    </xf>
    <xf numFmtId="165" fontId="2" fillId="0" borderId="59" xfId="1" applyNumberFormat="1" applyFont="1" applyBorder="1" applyAlignment="1">
      <alignment horizontal="right"/>
    </xf>
    <xf numFmtId="165" fontId="2" fillId="0" borderId="60" xfId="1" applyNumberFormat="1" applyFont="1" applyBorder="1" applyAlignment="1">
      <alignment horizontal="right"/>
    </xf>
    <xf numFmtId="0" fontId="3" fillId="3" borderId="4" xfId="0" applyFont="1" applyFill="1" applyBorder="1" applyAlignment="1">
      <alignment horizontal="center" vertical="center" wrapText="1"/>
    </xf>
    <xf numFmtId="10" fontId="2" fillId="0" borderId="59" xfId="2" applyNumberFormat="1" applyFont="1" applyBorder="1" applyAlignment="1">
      <alignment horizontal="right"/>
    </xf>
    <xf numFmtId="165" fontId="0" fillId="0" borderId="19" xfId="0" applyNumberFormat="1" applyBorder="1"/>
    <xf numFmtId="10" fontId="2" fillId="0" borderId="41" xfId="2" applyNumberFormat="1" applyFont="1" applyBorder="1" applyAlignment="1">
      <alignment horizontal="right"/>
    </xf>
    <xf numFmtId="10" fontId="2" fillId="0" borderId="20" xfId="2" applyNumberFormat="1" applyFont="1" applyBorder="1" applyAlignment="1">
      <alignment horizontal="right"/>
    </xf>
    <xf numFmtId="165" fontId="0" fillId="0" borderId="21" xfId="0" applyNumberFormat="1" applyBorder="1"/>
    <xf numFmtId="0" fontId="8" fillId="3" borderId="1" xfId="0" applyFont="1" applyFill="1" applyBorder="1" applyAlignment="1">
      <alignment horizontal="center" vertical="center" wrapText="1"/>
    </xf>
    <xf numFmtId="0" fontId="8" fillId="23" borderId="21" xfId="0" applyFont="1" applyFill="1" applyBorder="1" applyAlignment="1">
      <alignment horizontal="center"/>
    </xf>
    <xf numFmtId="0" fontId="7" fillId="10" borderId="59" xfId="0" applyFont="1" applyFill="1" applyBorder="1" applyAlignment="1">
      <alignment horizontal="center" vertical="center" wrapText="1"/>
    </xf>
    <xf numFmtId="0" fontId="7" fillId="23" borderId="19"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22" borderId="19"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8" fillId="23" borderId="21" xfId="0" applyFont="1" applyFill="1" applyBorder="1" applyAlignment="1">
      <alignment horizontal="center" vertical="center" wrapText="1"/>
    </xf>
    <xf numFmtId="0" fontId="10" fillId="23" borderId="21" xfId="0" applyFont="1" applyFill="1" applyBorder="1" applyAlignment="1">
      <alignment horizontal="center" vertical="center" wrapText="1"/>
    </xf>
    <xf numFmtId="9" fontId="0" fillId="6" borderId="54" xfId="2" applyFont="1" applyFill="1" applyBorder="1" applyAlignment="1">
      <alignment horizontal="center"/>
    </xf>
    <xf numFmtId="9" fontId="0" fillId="6" borderId="42" xfId="2" applyFont="1" applyFill="1" applyBorder="1" applyAlignment="1">
      <alignment horizontal="center"/>
    </xf>
    <xf numFmtId="9" fontId="0" fillId="6" borderId="22" xfId="2" applyFont="1" applyFill="1" applyBorder="1" applyAlignment="1">
      <alignment horizontal="center"/>
    </xf>
    <xf numFmtId="0" fontId="8" fillId="0" borderId="1" xfId="0" applyFont="1" applyBorder="1"/>
    <xf numFmtId="0" fontId="8" fillId="0" borderId="0" xfId="0" applyFont="1" applyBorder="1" applyAlignment="1">
      <alignment horizontal="left"/>
    </xf>
    <xf numFmtId="0" fontId="8" fillId="26" borderId="1" xfId="0" applyFont="1" applyFill="1" applyBorder="1"/>
    <xf numFmtId="0" fontId="30" fillId="4" borderId="2" xfId="0" applyFont="1" applyFill="1" applyBorder="1" applyAlignment="1">
      <alignment horizontal="right"/>
    </xf>
    <xf numFmtId="0" fontId="31" fillId="4" borderId="1" xfId="0" applyFont="1" applyFill="1" applyBorder="1" applyAlignment="1">
      <alignment horizontal="right" vertical="center"/>
    </xf>
    <xf numFmtId="0" fontId="23" fillId="6" borderId="0" xfId="0" applyFont="1" applyFill="1" applyBorder="1"/>
    <xf numFmtId="0" fontId="5" fillId="0" borderId="0" xfId="0" applyFont="1" applyFill="1" applyBorder="1" applyAlignment="1">
      <alignment horizontal="right"/>
    </xf>
    <xf numFmtId="5" fontId="8" fillId="0" borderId="45" xfId="0" applyNumberFormat="1" applyFont="1" applyBorder="1" applyAlignment="1">
      <alignment horizontal="left"/>
    </xf>
    <xf numFmtId="0" fontId="13" fillId="0" borderId="0" xfId="0" applyFont="1" applyBorder="1" applyAlignment="1"/>
    <xf numFmtId="0" fontId="0" fillId="0" borderId="0" xfId="0" applyBorder="1" applyAlignment="1">
      <alignment horizontal="center" vertical="center"/>
    </xf>
    <xf numFmtId="0" fontId="0" fillId="0" borderId="43" xfId="0" applyBorder="1" applyAlignment="1">
      <alignment horizontal="right" vertical="center"/>
    </xf>
    <xf numFmtId="0" fontId="0" fillId="0" borderId="0" xfId="0" applyBorder="1" applyAlignment="1">
      <alignment horizontal="right" vertical="center"/>
    </xf>
    <xf numFmtId="9" fontId="0" fillId="0" borderId="25" xfId="2" applyFont="1" applyBorder="1"/>
    <xf numFmtId="0" fontId="24" fillId="0" borderId="0" xfId="0" applyFont="1" applyBorder="1"/>
    <xf numFmtId="0" fontId="11" fillId="26" borderId="1" xfId="0" applyFont="1" applyFill="1" applyBorder="1" applyAlignment="1">
      <alignment horizontal="center" vertical="center"/>
    </xf>
    <xf numFmtId="5" fontId="10" fillId="22" borderId="1" xfId="0" applyNumberFormat="1" applyFont="1" applyFill="1" applyBorder="1" applyAlignment="1">
      <alignment horizontal="center" vertical="center"/>
    </xf>
    <xf numFmtId="5" fontId="10" fillId="8" borderId="1" xfId="1" applyNumberFormat="1" applyFont="1" applyFill="1" applyBorder="1" applyAlignment="1">
      <alignment horizontal="center" vertical="center"/>
    </xf>
    <xf numFmtId="5" fontId="10" fillId="22" borderId="1" xfId="1" applyNumberFormat="1" applyFont="1" applyFill="1" applyBorder="1" applyAlignment="1">
      <alignment horizontal="center" vertical="center"/>
    </xf>
    <xf numFmtId="9" fontId="10" fillId="25" borderId="1" xfId="2" applyNumberFormat="1" applyFont="1" applyFill="1" applyBorder="1" applyAlignment="1">
      <alignment horizontal="center" vertical="center"/>
    </xf>
    <xf numFmtId="5" fontId="10" fillId="3" borderId="1" xfId="1" applyNumberFormat="1" applyFont="1" applyFill="1" applyBorder="1" applyAlignment="1">
      <alignment horizontal="center" vertical="center"/>
    </xf>
    <xf numFmtId="169" fontId="10" fillId="22" borderId="1" xfId="0" applyNumberFormat="1" applyFont="1" applyFill="1" applyBorder="1" applyAlignment="1">
      <alignment horizontal="center" vertical="center"/>
    </xf>
    <xf numFmtId="169" fontId="10" fillId="2" borderId="1" xfId="1" applyNumberFormat="1" applyFont="1" applyFill="1" applyBorder="1" applyAlignment="1">
      <alignment horizontal="center" vertical="center"/>
    </xf>
    <xf numFmtId="169" fontId="8" fillId="3" borderId="5" xfId="1" applyNumberFormat="1" applyFont="1" applyFill="1" applyBorder="1" applyAlignment="1">
      <alignment horizontal="center" vertical="center"/>
    </xf>
    <xf numFmtId="169" fontId="8" fillId="3" borderId="1" xfId="1" applyNumberFormat="1" applyFont="1" applyFill="1" applyBorder="1" applyAlignment="1">
      <alignment horizontal="center" vertical="center"/>
    </xf>
    <xf numFmtId="169" fontId="8" fillId="3" borderId="21" xfId="1" applyNumberFormat="1" applyFont="1" applyFill="1" applyBorder="1" applyAlignment="1">
      <alignment horizontal="center" vertical="center"/>
    </xf>
    <xf numFmtId="169" fontId="8" fillId="22" borderId="5" xfId="1" applyNumberFormat="1" applyFont="1" applyFill="1" applyBorder="1" applyAlignment="1">
      <alignment horizontal="center" vertical="center"/>
    </xf>
    <xf numFmtId="169" fontId="8" fillId="22" borderId="1" xfId="1" applyNumberFormat="1" applyFont="1" applyFill="1" applyBorder="1" applyAlignment="1">
      <alignment horizontal="center" vertical="center"/>
    </xf>
    <xf numFmtId="169" fontId="8" fillId="22" borderId="21" xfId="1" applyNumberFormat="1" applyFont="1" applyFill="1" applyBorder="1" applyAlignment="1">
      <alignment horizontal="center" vertical="center"/>
    </xf>
    <xf numFmtId="169" fontId="8" fillId="0" borderId="1" xfId="0" applyNumberFormat="1" applyFont="1" applyBorder="1" applyAlignment="1">
      <alignment horizontal="center"/>
    </xf>
    <xf numFmtId="9" fontId="10" fillId="25" borderId="1" xfId="2" applyFont="1" applyFill="1" applyBorder="1" applyAlignment="1">
      <alignment horizontal="center" vertical="center"/>
    </xf>
    <xf numFmtId="167" fontId="10" fillId="26" borderId="1" xfId="0" applyNumberFormat="1" applyFont="1" applyFill="1" applyBorder="1" applyAlignment="1">
      <alignment horizontal="center" vertical="center"/>
    </xf>
    <xf numFmtId="3" fontId="0" fillId="0" borderId="1" xfId="0" applyNumberFormat="1" applyBorder="1"/>
    <xf numFmtId="171" fontId="0" fillId="0" borderId="0" xfId="0" applyNumberFormat="1"/>
    <xf numFmtId="0" fontId="30" fillId="4" borderId="0" xfId="0" applyFont="1" applyFill="1"/>
    <xf numFmtId="0" fontId="35" fillId="4" borderId="0" xfId="0" applyFont="1" applyFill="1"/>
    <xf numFmtId="0" fontId="6" fillId="4" borderId="0" xfId="0" applyFont="1" applyFill="1"/>
    <xf numFmtId="0" fontId="7" fillId="0" borderId="0" xfId="0" applyFont="1" applyBorder="1" applyAlignment="1">
      <alignment horizontal="right"/>
    </xf>
    <xf numFmtId="0" fontId="7" fillId="0" borderId="0" xfId="0" applyFont="1" applyBorder="1"/>
    <xf numFmtId="0" fontId="7" fillId="6" borderId="1" xfId="0" applyFont="1" applyFill="1" applyBorder="1"/>
    <xf numFmtId="0" fontId="7" fillId="8" borderId="1" xfId="0" applyFont="1" applyFill="1" applyBorder="1" applyAlignment="1">
      <alignment horizontal="center"/>
    </xf>
    <xf numFmtId="0" fontId="7" fillId="0" borderId="0" xfId="0" applyFont="1" applyBorder="1" applyAlignment="1">
      <alignment horizontal="center"/>
    </xf>
    <xf numFmtId="0" fontId="10" fillId="0" borderId="43" xfId="0" applyFont="1" applyFill="1" applyBorder="1" applyAlignment="1">
      <alignment horizontal="right"/>
    </xf>
    <xf numFmtId="10" fontId="10" fillId="7" borderId="2" xfId="0" applyNumberFormat="1" applyFont="1" applyFill="1" applyBorder="1" applyAlignment="1">
      <alignment horizontal="center"/>
    </xf>
    <xf numFmtId="0" fontId="5" fillId="0" borderId="1" xfId="0" applyFont="1" applyBorder="1" applyAlignment="1"/>
    <xf numFmtId="0" fontId="8" fillId="8" borderId="41" xfId="0" applyFont="1" applyFill="1" applyBorder="1" applyAlignment="1">
      <alignment horizontal="right"/>
    </xf>
    <xf numFmtId="0" fontId="0" fillId="0" borderId="1" xfId="0" applyBorder="1" applyAlignment="1">
      <alignment horizontal="center"/>
    </xf>
    <xf numFmtId="166" fontId="8" fillId="8" borderId="2" xfId="2" applyNumberFormat="1" applyFont="1" applyFill="1" applyBorder="1" applyAlignment="1">
      <alignment horizontal="center"/>
    </xf>
    <xf numFmtId="0" fontId="7" fillId="6" borderId="22"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6" borderId="1" xfId="0" applyFont="1" applyFill="1" applyBorder="1" applyAlignment="1">
      <alignment horizontal="center" vertical="center" wrapText="1"/>
    </xf>
    <xf numFmtId="9" fontId="8" fillId="0" borderId="1" xfId="2" applyFont="1" applyFill="1" applyBorder="1" applyAlignment="1">
      <alignment horizontal="center"/>
    </xf>
    <xf numFmtId="166" fontId="8" fillId="0" borderId="1" xfId="2" applyNumberFormat="1" applyFont="1" applyFill="1" applyBorder="1" applyAlignment="1">
      <alignment horizontal="center"/>
    </xf>
    <xf numFmtId="10" fontId="5" fillId="0" borderId="1" xfId="0" applyNumberFormat="1" applyFont="1" applyBorder="1" applyAlignment="1">
      <alignment horizontal="center"/>
    </xf>
    <xf numFmtId="10" fontId="5" fillId="0" borderId="5" xfId="0" applyNumberFormat="1" applyFont="1" applyBorder="1" applyAlignment="1">
      <alignment horizontal="center"/>
    </xf>
    <xf numFmtId="0" fontId="0" fillId="0" borderId="18" xfId="0" applyBorder="1"/>
    <xf numFmtId="10" fontId="8" fillId="0" borderId="0" xfId="2" applyNumberFormat="1" applyFont="1" applyBorder="1" applyAlignment="1">
      <alignment horizontal="center"/>
    </xf>
    <xf numFmtId="10" fontId="8" fillId="0" borderId="1" xfId="2" applyNumberFormat="1" applyFont="1" applyBorder="1" applyAlignment="1">
      <alignment horizontal="center"/>
    </xf>
    <xf numFmtId="166" fontId="8" fillId="0" borderId="1" xfId="2" applyNumberFormat="1" applyFont="1" applyBorder="1" applyAlignment="1">
      <alignment horizontal="center"/>
    </xf>
    <xf numFmtId="10" fontId="10" fillId="14" borderId="1" xfId="2" applyNumberFormat="1" applyFont="1" applyFill="1" applyBorder="1" applyAlignment="1">
      <alignment horizontal="center"/>
    </xf>
    <xf numFmtId="9" fontId="5" fillId="0" borderId="5" xfId="2" applyFont="1" applyFill="1" applyBorder="1" applyAlignment="1">
      <alignment horizontal="center"/>
    </xf>
    <xf numFmtId="166" fontId="5" fillId="0" borderId="5" xfId="2" applyNumberFormat="1" applyFont="1" applyFill="1" applyBorder="1" applyAlignment="1">
      <alignment horizontal="center"/>
    </xf>
    <xf numFmtId="10" fontId="5" fillId="0" borderId="5" xfId="2" applyNumberFormat="1" applyFont="1" applyBorder="1" applyAlignment="1">
      <alignment horizontal="center"/>
    </xf>
    <xf numFmtId="166" fontId="5" fillId="0" borderId="5" xfId="2" applyNumberFormat="1" applyFont="1" applyBorder="1" applyAlignment="1">
      <alignment horizontal="center"/>
    </xf>
    <xf numFmtId="10" fontId="5" fillId="14" borderId="5" xfId="2" applyNumberFormat="1" applyFont="1" applyFill="1" applyBorder="1" applyAlignment="1">
      <alignment horizontal="center"/>
    </xf>
    <xf numFmtId="9" fontId="5" fillId="0" borderId="1" xfId="2" applyFont="1" applyFill="1" applyBorder="1" applyAlignment="1">
      <alignment horizontal="center"/>
    </xf>
    <xf numFmtId="166" fontId="5" fillId="0" borderId="1" xfId="2" applyNumberFormat="1" applyFont="1" applyFill="1" applyBorder="1" applyAlignment="1">
      <alignment horizontal="center"/>
    </xf>
    <xf numFmtId="10" fontId="5" fillId="0" borderId="1" xfId="2" applyNumberFormat="1" applyFont="1" applyBorder="1" applyAlignment="1">
      <alignment horizontal="center"/>
    </xf>
    <xf numFmtId="166" fontId="5" fillId="0" borderId="1" xfId="2" applyNumberFormat="1" applyFont="1" applyBorder="1" applyAlignment="1">
      <alignment horizontal="center"/>
    </xf>
    <xf numFmtId="10" fontId="5" fillId="14" borderId="1" xfId="2" applyNumberFormat="1" applyFont="1" applyFill="1" applyBorder="1" applyAlignment="1">
      <alignment horizontal="center"/>
    </xf>
    <xf numFmtId="0" fontId="22" fillId="10" borderId="1" xfId="0" applyFont="1" applyFill="1" applyBorder="1" applyAlignment="1">
      <alignment horizontal="center"/>
    </xf>
    <xf numFmtId="0" fontId="0" fillId="0" borderId="1" xfId="0" applyFill="1" applyBorder="1" applyAlignment="1">
      <alignment horizontal="center"/>
    </xf>
    <xf numFmtId="10" fontId="0" fillId="0" borderId="15" xfId="2" applyNumberFormat="1" applyFont="1" applyFill="1" applyBorder="1" applyAlignment="1">
      <alignment horizontal="center"/>
    </xf>
    <xf numFmtId="10" fontId="0" fillId="0" borderId="38" xfId="2" applyNumberFormat="1" applyFont="1" applyFill="1" applyBorder="1" applyAlignment="1">
      <alignment horizontal="center"/>
    </xf>
    <xf numFmtId="166" fontId="10" fillId="7" borderId="1" xfId="0" applyNumberFormat="1" applyFont="1" applyFill="1" applyBorder="1" applyAlignment="1">
      <alignment horizontal="center"/>
    </xf>
    <xf numFmtId="0" fontId="8" fillId="8" borderId="1" xfId="0" applyFont="1" applyFill="1" applyBorder="1" applyAlignment="1">
      <alignment horizontal="center" vertical="center" wrapText="1"/>
    </xf>
    <xf numFmtId="0" fontId="10" fillId="8" borderId="1" xfId="0" applyFont="1" applyFill="1" applyBorder="1" applyAlignment="1">
      <alignment horizontal="center"/>
    </xf>
    <xf numFmtId="10" fontId="5" fillId="2" borderId="1" xfId="0" applyNumberFormat="1" applyFont="1" applyFill="1" applyBorder="1" applyAlignment="1">
      <alignment horizontal="center"/>
    </xf>
    <xf numFmtId="10" fontId="8" fillId="2" borderId="5" xfId="2" applyNumberFormat="1" applyFont="1" applyFill="1" applyBorder="1" applyAlignment="1">
      <alignment horizontal="center"/>
    </xf>
    <xf numFmtId="10" fontId="8" fillId="2" borderId="1" xfId="2" applyNumberFormat="1" applyFont="1" applyFill="1" applyBorder="1" applyAlignment="1">
      <alignment horizontal="center"/>
    </xf>
    <xf numFmtId="10" fontId="8" fillId="2" borderId="21" xfId="2" applyNumberFormat="1" applyFont="1" applyFill="1" applyBorder="1" applyAlignment="1">
      <alignment horizontal="center"/>
    </xf>
    <xf numFmtId="0" fontId="3" fillId="3" borderId="5" xfId="0" applyFont="1" applyFill="1" applyBorder="1" applyAlignment="1">
      <alignment horizontal="center" vertical="center" wrapText="1"/>
    </xf>
    <xf numFmtId="0" fontId="10" fillId="8" borderId="9" xfId="0" applyFont="1" applyFill="1" applyBorder="1" applyAlignment="1">
      <alignment horizontal="center"/>
    </xf>
    <xf numFmtId="10" fontId="10" fillId="0" borderId="5" xfId="2" applyNumberFormat="1" applyFont="1" applyFill="1" applyBorder="1" applyAlignment="1">
      <alignment horizontal="center"/>
    </xf>
    <xf numFmtId="0" fontId="3" fillId="20" borderId="5" xfId="0" applyFont="1" applyFill="1" applyBorder="1" applyAlignment="1">
      <alignment horizontal="center" vertical="center" wrapText="1"/>
    </xf>
    <xf numFmtId="10" fontId="0" fillId="0" borderId="1" xfId="2" applyNumberFormat="1" applyFont="1" applyBorder="1"/>
    <xf numFmtId="0" fontId="7" fillId="0" borderId="0" xfId="0" applyFont="1" applyFill="1" applyBorder="1" applyAlignment="1">
      <alignment horizontal="right"/>
    </xf>
    <xf numFmtId="166" fontId="10" fillId="2" borderId="1" xfId="2" applyNumberFormat="1" applyFont="1" applyFill="1" applyBorder="1" applyAlignment="1">
      <alignment horizontal="center"/>
    </xf>
    <xf numFmtId="0" fontId="38" fillId="4" borderId="0" xfId="0" applyFont="1" applyFill="1" applyBorder="1"/>
    <xf numFmtId="9" fontId="8" fillId="0" borderId="0" xfId="2" applyFont="1" applyFill="1" applyBorder="1" applyAlignment="1">
      <alignment horizontal="center"/>
    </xf>
    <xf numFmtId="10" fontId="10" fillId="3" borderId="6" xfId="2" applyNumberFormat="1" applyFont="1" applyFill="1" applyBorder="1" applyAlignment="1">
      <alignment horizontal="center"/>
    </xf>
    <xf numFmtId="0" fontId="23" fillId="0" borderId="1" xfId="0" applyFont="1" applyBorder="1" applyAlignment="1">
      <alignment horizontal="center" vertical="center" wrapText="1"/>
    </xf>
    <xf numFmtId="9" fontId="0" fillId="0" borderId="0" xfId="0" applyNumberFormat="1" applyBorder="1" applyAlignment="1">
      <alignment horizontal="center"/>
    </xf>
    <xf numFmtId="0" fontId="11" fillId="20" borderId="41" xfId="0" applyFont="1" applyFill="1" applyBorder="1" applyAlignment="1">
      <alignment vertical="center" wrapText="1"/>
    </xf>
    <xf numFmtId="0" fontId="30" fillId="4" borderId="0" xfId="0" applyFont="1" applyFill="1" applyBorder="1" applyAlignment="1">
      <alignment horizontal="center"/>
    </xf>
    <xf numFmtId="0" fontId="7" fillId="0" borderId="46" xfId="0" applyFont="1" applyBorder="1"/>
    <xf numFmtId="0" fontId="7" fillId="0" borderId="16" xfId="0" applyFont="1" applyBorder="1" applyAlignment="1">
      <alignment horizontal="right"/>
    </xf>
    <xf numFmtId="0" fontId="7" fillId="0" borderId="25" xfId="0" applyFont="1" applyBorder="1" applyAlignment="1">
      <alignment horizontal="right"/>
    </xf>
    <xf numFmtId="0" fontId="7" fillId="0" borderId="25" xfId="0" applyFont="1" applyBorder="1"/>
    <xf numFmtId="0" fontId="7" fillId="0" borderId="41" xfId="0" applyFont="1" applyBorder="1" applyAlignment="1">
      <alignment horizontal="right"/>
    </xf>
    <xf numFmtId="0" fontId="42" fillId="0" borderId="43" xfId="0" applyFont="1" applyBorder="1" applyAlignment="1">
      <alignment horizontal="right" vertical="top"/>
    </xf>
    <xf numFmtId="0" fontId="7" fillId="0" borderId="0" xfId="0" applyFont="1" applyBorder="1" applyAlignment="1">
      <alignment horizontal="center" vertical="center" wrapText="1"/>
    </xf>
    <xf numFmtId="0" fontId="7" fillId="14" borderId="1" xfId="0" applyFont="1" applyFill="1" applyBorder="1" applyAlignment="1">
      <alignment horizontal="center" vertical="center" wrapText="1"/>
    </xf>
    <xf numFmtId="10" fontId="8" fillId="3" borderId="1" xfId="2" applyNumberFormat="1" applyFont="1" applyFill="1" applyBorder="1" applyAlignment="1">
      <alignment horizontal="center"/>
    </xf>
    <xf numFmtId="172" fontId="7" fillId="0" borderId="0" xfId="0" applyNumberFormat="1" applyFont="1" applyBorder="1"/>
    <xf numFmtId="0" fontId="7" fillId="8" borderId="41" xfId="0" applyFont="1" applyFill="1" applyBorder="1" applyAlignment="1">
      <alignment horizontal="right"/>
    </xf>
    <xf numFmtId="169" fontId="8" fillId="3" borderId="1" xfId="0" applyNumberFormat="1" applyFont="1" applyFill="1" applyBorder="1"/>
    <xf numFmtId="0" fontId="7" fillId="8" borderId="41" xfId="0" applyFont="1" applyFill="1" applyBorder="1" applyAlignment="1">
      <alignment horizontal="center" vertical="center" wrapText="1"/>
    </xf>
    <xf numFmtId="0" fontId="7" fillId="0" borderId="43" xfId="0" applyFont="1" applyBorder="1" applyAlignment="1">
      <alignment horizontal="left"/>
    </xf>
    <xf numFmtId="0" fontId="13" fillId="0" borderId="0" xfId="0" applyFont="1" applyBorder="1" applyAlignment="1">
      <alignment horizontal="center" vertical="center" wrapText="1"/>
    </xf>
    <xf numFmtId="0" fontId="0" fillId="0" borderId="43" xfId="0" applyBorder="1" applyAlignment="1">
      <alignment horizontal="left"/>
    </xf>
    <xf numFmtId="166" fontId="10" fillId="8" borderId="2" xfId="0" applyNumberFormat="1" applyFont="1" applyFill="1" applyBorder="1" applyAlignment="1">
      <alignment horizontal="center"/>
    </xf>
    <xf numFmtId="172" fontId="8" fillId="3" borderId="1" xfId="0" applyNumberFormat="1" applyFont="1" applyFill="1" applyBorder="1" applyAlignment="1">
      <alignment horizontal="center" vertical="center" wrapText="1"/>
    </xf>
    <xf numFmtId="172" fontId="8" fillId="8" borderId="1" xfId="0" applyNumberFormat="1" applyFont="1" applyFill="1" applyBorder="1" applyAlignment="1">
      <alignment horizontal="center" vertical="center" wrapText="1"/>
    </xf>
    <xf numFmtId="172" fontId="8" fillId="6" borderId="1" xfId="0" applyNumberFormat="1" applyFont="1" applyFill="1" applyBorder="1" applyAlignment="1">
      <alignment horizontal="center" vertical="center" wrapText="1"/>
    </xf>
    <xf numFmtId="172" fontId="8" fillId="14" borderId="1" xfId="0" applyNumberFormat="1" applyFont="1" applyFill="1" applyBorder="1" applyAlignment="1">
      <alignment horizontal="center" vertical="center" wrapText="1"/>
    </xf>
    <xf numFmtId="0" fontId="0" fillId="0" borderId="43" xfId="0" applyBorder="1" applyAlignment="1">
      <alignment horizontal="center" vertical="center" wrapText="1"/>
    </xf>
    <xf numFmtId="0" fontId="8" fillId="0" borderId="0" xfId="0" applyFont="1" applyFill="1" applyBorder="1" applyAlignment="1">
      <alignment horizontal="center" vertical="center" wrapText="1"/>
    </xf>
    <xf numFmtId="0" fontId="0" fillId="0" borderId="43" xfId="0" applyBorder="1" applyAlignment="1">
      <alignment horizontal="right"/>
    </xf>
    <xf numFmtId="0" fontId="21" fillId="7" borderId="2" xfId="0" applyFont="1" applyFill="1" applyBorder="1" applyAlignment="1">
      <alignment horizontal="right"/>
    </xf>
    <xf numFmtId="0" fontId="22" fillId="0" borderId="0" xfId="0" applyFont="1" applyBorder="1"/>
    <xf numFmtId="0" fontId="8" fillId="0" borderId="43" xfId="0" applyFont="1" applyBorder="1" applyAlignment="1">
      <alignment horizontal="right"/>
    </xf>
    <xf numFmtId="10" fontId="10" fillId="15" borderId="5" xfId="0" applyNumberFormat="1" applyFont="1" applyFill="1" applyBorder="1" applyAlignment="1">
      <alignment horizontal="center"/>
    </xf>
    <xf numFmtId="169" fontId="8" fillId="2" borderId="1" xfId="0" applyNumberFormat="1" applyFont="1" applyFill="1" applyBorder="1"/>
    <xf numFmtId="10" fontId="7" fillId="8" borderId="1" xfId="2" applyNumberFormat="1" applyFont="1" applyFill="1" applyBorder="1" applyAlignment="1">
      <alignment horizontal="center"/>
    </xf>
    <xf numFmtId="0" fontId="0" fillId="2" borderId="1" xfId="0" applyFont="1" applyFill="1" applyBorder="1" applyAlignment="1">
      <alignment horizontal="center"/>
    </xf>
    <xf numFmtId="0" fontId="5" fillId="2" borderId="1" xfId="0" applyFont="1" applyFill="1" applyBorder="1" applyAlignment="1">
      <alignment horizontal="center"/>
    </xf>
    <xf numFmtId="166" fontId="10" fillId="23" borderId="1" xfId="0" applyNumberFormat="1" applyFont="1" applyFill="1" applyBorder="1" applyAlignment="1">
      <alignment horizontal="center"/>
    </xf>
    <xf numFmtId="172" fontId="8" fillId="23" borderId="1" xfId="0" applyNumberFormat="1" applyFont="1" applyFill="1" applyBorder="1" applyAlignment="1">
      <alignment horizontal="center" vertical="center" wrapText="1"/>
    </xf>
    <xf numFmtId="10" fontId="21" fillId="0" borderId="2" xfId="2" applyNumberFormat="1" applyFont="1" applyFill="1" applyBorder="1" applyAlignment="1">
      <alignment horizontal="center"/>
    </xf>
    <xf numFmtId="0" fontId="7" fillId="23" borderId="1" xfId="0" applyFont="1" applyFill="1" applyBorder="1" applyAlignment="1">
      <alignment horizontal="center" vertical="center" wrapText="1"/>
    </xf>
    <xf numFmtId="0" fontId="13" fillId="0" borderId="10" xfId="0" applyFont="1" applyBorder="1" applyAlignment="1"/>
    <xf numFmtId="0" fontId="44" fillId="0" borderId="0" xfId="0" applyFont="1" applyBorder="1" applyAlignment="1">
      <alignment horizontal="center"/>
    </xf>
    <xf numFmtId="0" fontId="5" fillId="25" borderId="1" xfId="0" applyFont="1" applyFill="1" applyBorder="1" applyAlignment="1">
      <alignment horizontal="center"/>
    </xf>
    <xf numFmtId="0" fontId="5" fillId="25" borderId="5" xfId="0" applyFont="1" applyFill="1" applyBorder="1" applyAlignment="1">
      <alignment horizontal="center"/>
    </xf>
    <xf numFmtId="10" fontId="10" fillId="25" borderId="5" xfId="2" applyNumberFormat="1" applyFont="1" applyFill="1" applyBorder="1" applyAlignment="1">
      <alignment horizontal="center"/>
    </xf>
    <xf numFmtId="166" fontId="10" fillId="25" borderId="26" xfId="0" applyNumberFormat="1" applyFont="1" applyFill="1" applyBorder="1" applyAlignment="1">
      <alignment horizontal="center"/>
    </xf>
    <xf numFmtId="166" fontId="10" fillId="25" borderId="1" xfId="0" applyNumberFormat="1" applyFont="1" applyFill="1" applyBorder="1" applyAlignment="1">
      <alignment horizontal="center"/>
    </xf>
    <xf numFmtId="0" fontId="5" fillId="0" borderId="1" xfId="0" applyFont="1" applyBorder="1" applyAlignment="1">
      <alignment vertical="center" wrapText="1"/>
    </xf>
    <xf numFmtId="0" fontId="8" fillId="6" borderId="55" xfId="0" applyFont="1" applyFill="1" applyBorder="1" applyAlignment="1">
      <alignment horizontal="center" vertical="center" wrapText="1"/>
    </xf>
    <xf numFmtId="0" fontId="8" fillId="6" borderId="27" xfId="0" applyFont="1" applyFill="1" applyBorder="1" applyAlignment="1">
      <alignment horizontal="center" vertical="center"/>
    </xf>
    <xf numFmtId="0" fontId="8" fillId="6" borderId="27"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25" borderId="27" xfId="0" applyFont="1" applyFill="1" applyBorder="1" applyAlignment="1">
      <alignment horizontal="center" vertical="center"/>
    </xf>
    <xf numFmtId="0" fontId="8" fillId="8" borderId="27" xfId="0" applyFont="1" applyFill="1" applyBorder="1" applyAlignment="1">
      <alignment horizontal="center" vertical="center"/>
    </xf>
    <xf numFmtId="0" fontId="8" fillId="8" borderId="28" xfId="0" applyFont="1" applyFill="1" applyBorder="1" applyAlignment="1">
      <alignment horizontal="center" vertical="center"/>
    </xf>
    <xf numFmtId="5" fontId="8" fillId="2" borderId="9" xfId="1" applyNumberFormat="1" applyFont="1" applyFill="1" applyBorder="1" applyAlignment="1">
      <alignment horizontal="center" vertical="center"/>
    </xf>
    <xf numFmtId="0" fontId="13" fillId="0" borderId="48" xfId="0" applyFont="1" applyBorder="1" applyAlignment="1"/>
    <xf numFmtId="0" fontId="10" fillId="0" borderId="0" xfId="0" applyFont="1" applyBorder="1"/>
    <xf numFmtId="0" fontId="7" fillId="2" borderId="21"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22" borderId="21" xfId="0" applyFont="1" applyFill="1" applyBorder="1" applyAlignment="1">
      <alignment horizontal="center" vertical="center" wrapText="1"/>
    </xf>
    <xf numFmtId="0" fontId="30" fillId="20" borderId="2" xfId="0" applyFont="1" applyFill="1" applyBorder="1" applyAlignment="1">
      <alignment horizontal="right"/>
    </xf>
    <xf numFmtId="0" fontId="8" fillId="20" borderId="11" xfId="0" applyFont="1" applyFill="1" applyBorder="1" applyAlignment="1">
      <alignment horizontal="center"/>
    </xf>
    <xf numFmtId="0" fontId="5" fillId="0" borderId="1" xfId="0" applyFont="1" applyFill="1" applyBorder="1" applyAlignment="1">
      <alignment horizontal="center"/>
    </xf>
    <xf numFmtId="169" fontId="8" fillId="8" borderId="1" xfId="0" applyNumberFormat="1" applyFont="1" applyFill="1" applyBorder="1"/>
    <xf numFmtId="0" fontId="7" fillId="3" borderId="1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17"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7" fillId="6" borderId="60" xfId="0" applyFont="1" applyFill="1" applyBorder="1" applyAlignment="1">
      <alignment horizontal="center" vertical="center"/>
    </xf>
    <xf numFmtId="0" fontId="7" fillId="6" borderId="22" xfId="0" applyFont="1" applyFill="1" applyBorder="1" applyAlignment="1">
      <alignment horizontal="center" vertical="center"/>
    </xf>
    <xf numFmtId="0" fontId="7" fillId="6" borderId="30"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15" borderId="5" xfId="0" applyFont="1" applyFill="1" applyBorder="1" applyAlignment="1">
      <alignment horizontal="center" vertical="center" wrapText="1"/>
    </xf>
    <xf numFmtId="0" fontId="7" fillId="15" borderId="21" xfId="0" applyFont="1" applyFill="1" applyBorder="1" applyAlignment="1">
      <alignment horizontal="center" vertical="center" wrapText="1"/>
    </xf>
    <xf numFmtId="0" fontId="7" fillId="6" borderId="54"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63" xfId="0" applyFont="1" applyFill="1" applyBorder="1" applyAlignment="1">
      <alignment horizontal="center" vertical="center" wrapText="1"/>
    </xf>
    <xf numFmtId="0" fontId="7" fillId="25" borderId="5" xfId="0" applyFont="1" applyFill="1" applyBorder="1" applyAlignment="1">
      <alignment horizontal="center" vertical="center" wrapText="1"/>
    </xf>
    <xf numFmtId="0" fontId="7" fillId="25" borderId="21"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54"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7" fillId="15" borderId="10" xfId="0" applyFont="1" applyFill="1" applyBorder="1" applyAlignment="1">
      <alignment horizontal="center" vertical="center" wrapText="1"/>
    </xf>
    <xf numFmtId="0" fontId="7" fillId="8" borderId="38" xfId="0" applyFont="1" applyFill="1" applyBorder="1" applyAlignment="1">
      <alignment horizontal="center" vertical="center" wrapText="1"/>
    </xf>
    <xf numFmtId="0" fontId="7" fillId="8" borderId="39" xfId="0" applyFont="1" applyFill="1" applyBorder="1" applyAlignment="1">
      <alignment horizontal="center" vertical="center" wrapText="1"/>
    </xf>
    <xf numFmtId="0" fontId="7" fillId="6" borderId="55" xfId="0" applyFont="1" applyFill="1" applyBorder="1" applyAlignment="1">
      <alignment horizontal="center" vertical="center"/>
    </xf>
    <xf numFmtId="0" fontId="7" fillId="6" borderId="65" xfId="0" applyFont="1" applyFill="1" applyBorder="1" applyAlignment="1">
      <alignment horizontal="center" vertical="center"/>
    </xf>
    <xf numFmtId="0" fontId="7" fillId="15" borderId="19" xfId="0" applyFont="1" applyFill="1" applyBorder="1" applyAlignment="1">
      <alignment horizontal="center" vertical="center"/>
    </xf>
    <xf numFmtId="0" fontId="7" fillId="15" borderId="21" xfId="0" applyFont="1" applyFill="1" applyBorder="1" applyAlignment="1">
      <alignment horizontal="center" vertical="center"/>
    </xf>
    <xf numFmtId="0" fontId="7" fillId="8" borderId="1" xfId="0" applyFont="1" applyFill="1" applyBorder="1" applyAlignment="1">
      <alignment horizontal="center"/>
    </xf>
    <xf numFmtId="0" fontId="21" fillId="15" borderId="67" xfId="0" applyFont="1" applyFill="1" applyBorder="1" applyAlignment="1">
      <alignment horizontal="center" vertical="center" wrapText="1"/>
    </xf>
    <xf numFmtId="0" fontId="21" fillId="15" borderId="32" xfId="0" applyFont="1" applyFill="1" applyBorder="1" applyAlignment="1">
      <alignment horizontal="center" vertical="center" wrapText="1"/>
    </xf>
    <xf numFmtId="0" fontId="21" fillId="15" borderId="53" xfId="0" applyFont="1" applyFill="1" applyBorder="1" applyAlignment="1">
      <alignment horizontal="center" vertical="center" wrapText="1"/>
    </xf>
    <xf numFmtId="0" fontId="21" fillId="15" borderId="38" xfId="0" applyFont="1" applyFill="1" applyBorder="1" applyAlignment="1">
      <alignment horizontal="center" vertical="center" wrapText="1"/>
    </xf>
    <xf numFmtId="0" fontId="0" fillId="0" borderId="0" xfId="0" applyBorder="1" applyAlignment="1">
      <alignment horizontal="center"/>
    </xf>
    <xf numFmtId="0" fontId="7" fillId="8" borderId="19" xfId="0" applyFont="1" applyFill="1" applyBorder="1" applyAlignment="1">
      <alignment horizontal="center" vertical="center" wrapText="1"/>
    </xf>
    <xf numFmtId="0" fontId="7" fillId="25" borderId="19" xfId="0" applyFont="1" applyFill="1" applyBorder="1" applyAlignment="1">
      <alignment horizontal="center" vertical="center"/>
    </xf>
    <xf numFmtId="0" fontId="7" fillId="25" borderId="21" xfId="0" applyFont="1" applyFill="1" applyBorder="1" applyAlignment="1">
      <alignment horizontal="center" vertical="center"/>
    </xf>
    <xf numFmtId="0" fontId="7" fillId="8" borderId="27" xfId="0" applyFont="1" applyFill="1" applyBorder="1" applyAlignment="1">
      <alignment horizontal="center" vertical="center"/>
    </xf>
    <xf numFmtId="0" fontId="7" fillId="8" borderId="63" xfId="0" applyFont="1" applyFill="1" applyBorder="1" applyAlignment="1">
      <alignment horizontal="center" vertical="center"/>
    </xf>
    <xf numFmtId="0" fontId="7" fillId="8" borderId="28" xfId="0" applyFont="1" applyFill="1" applyBorder="1" applyAlignment="1">
      <alignment horizontal="center" vertical="center"/>
    </xf>
    <xf numFmtId="0" fontId="7" fillId="8" borderId="64" xfId="0" applyFont="1" applyFill="1" applyBorder="1" applyAlignment="1">
      <alignment horizontal="center" vertical="center"/>
    </xf>
    <xf numFmtId="0" fontId="7" fillId="15" borderId="10" xfId="0" applyFont="1" applyFill="1" applyBorder="1" applyAlignment="1">
      <alignment horizontal="center" vertical="center"/>
    </xf>
    <xf numFmtId="0" fontId="7" fillId="8" borderId="59"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6" borderId="59" xfId="0" applyFont="1" applyFill="1" applyBorder="1" applyAlignment="1">
      <alignment horizontal="center" vertical="center" wrapText="1"/>
    </xf>
    <xf numFmtId="0" fontId="8" fillId="2" borderId="1" xfId="0" applyFont="1" applyFill="1" applyBorder="1" applyAlignment="1">
      <alignment horizontal="center" vertical="center"/>
    </xf>
    <xf numFmtId="0" fontId="10" fillId="2" borderId="1" xfId="0" applyFont="1" applyFill="1" applyBorder="1" applyAlignment="1">
      <alignment horizontal="left"/>
    </xf>
    <xf numFmtId="0" fontId="7" fillId="15" borderId="14" xfId="0" applyFont="1" applyFill="1" applyBorder="1" applyAlignment="1">
      <alignment horizontal="center" vertical="center" wrapText="1"/>
    </xf>
    <xf numFmtId="0" fontId="7" fillId="15" borderId="17" xfId="0" applyFont="1" applyFill="1" applyBorder="1" applyAlignment="1">
      <alignment horizontal="center" vertical="center" wrapText="1"/>
    </xf>
    <xf numFmtId="0" fontId="21" fillId="15" borderId="41" xfId="0" applyFont="1" applyFill="1" applyBorder="1" applyAlignment="1">
      <alignment horizontal="center" vertical="center" wrapText="1"/>
    </xf>
    <xf numFmtId="0" fontId="21" fillId="15"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1" fillId="6" borderId="42"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41" fillId="15"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41" fillId="15" borderId="42" xfId="0" applyFont="1" applyFill="1" applyBorder="1" applyAlignment="1">
      <alignment horizontal="center" vertical="center" wrapText="1"/>
    </xf>
    <xf numFmtId="0" fontId="30" fillId="4" borderId="0" xfId="0" applyFont="1" applyFill="1" applyBorder="1" applyAlignment="1">
      <alignment horizontal="center" vertical="center" wrapText="1"/>
    </xf>
    <xf numFmtId="0" fontId="30" fillId="4" borderId="15"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0" borderId="6" xfId="0" applyFont="1" applyFill="1" applyBorder="1" applyAlignment="1">
      <alignment horizontal="center" vertical="center"/>
    </xf>
    <xf numFmtId="0" fontId="43" fillId="10" borderId="7" xfId="0" applyFont="1" applyFill="1" applyBorder="1" applyAlignment="1">
      <alignment horizontal="center" vertical="center"/>
    </xf>
    <xf numFmtId="0" fontId="43" fillId="10" borderId="8" xfId="0" applyFont="1" applyFill="1" applyBorder="1" applyAlignment="1">
      <alignment horizontal="center" vertical="center"/>
    </xf>
    <xf numFmtId="0" fontId="36" fillId="8" borderId="6" xfId="0" applyFont="1" applyFill="1" applyBorder="1" applyAlignment="1">
      <alignment horizontal="center"/>
    </xf>
    <xf numFmtId="0" fontId="36" fillId="8" borderId="7" xfId="0" applyFont="1" applyFill="1" applyBorder="1" applyAlignment="1">
      <alignment horizontal="center"/>
    </xf>
    <xf numFmtId="0" fontId="36" fillId="8" borderId="8" xfId="0" applyFont="1" applyFill="1" applyBorder="1" applyAlignment="1">
      <alignment horizontal="center"/>
    </xf>
    <xf numFmtId="0" fontId="8" fillId="0" borderId="43" xfId="0" applyFont="1" applyFill="1" applyBorder="1" applyAlignment="1">
      <alignment horizontal="right"/>
    </xf>
    <xf numFmtId="0" fontId="8" fillId="0" borderId="46" xfId="0" applyFont="1" applyFill="1" applyBorder="1" applyAlignment="1">
      <alignment horizontal="right"/>
    </xf>
    <xf numFmtId="0" fontId="36"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31" fillId="4" borderId="0"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8" fillId="0" borderId="25" xfId="0" applyFont="1" applyBorder="1" applyAlignment="1">
      <alignment horizontal="center" vertical="center" wrapText="1"/>
    </xf>
    <xf numFmtId="0" fontId="8" fillId="0" borderId="47" xfId="0" applyFont="1" applyBorder="1" applyAlignment="1">
      <alignment horizontal="center" vertical="center" wrapText="1"/>
    </xf>
    <xf numFmtId="0" fontId="10" fillId="8" borderId="3" xfId="0" applyFont="1" applyFill="1" applyBorder="1" applyAlignment="1">
      <alignment horizontal="center"/>
    </xf>
    <xf numFmtId="0" fontId="10" fillId="8" borderId="4" xfId="0" applyFont="1" applyFill="1" applyBorder="1" applyAlignment="1">
      <alignment horizontal="center"/>
    </xf>
    <xf numFmtId="0" fontId="10" fillId="8" borderId="13" xfId="0" applyFont="1" applyFill="1" applyBorder="1" applyAlignment="1">
      <alignment horizontal="center"/>
    </xf>
    <xf numFmtId="0" fontId="8" fillId="0" borderId="43" xfId="0" applyFont="1" applyBorder="1" applyAlignment="1">
      <alignment horizontal="left"/>
    </xf>
    <xf numFmtId="0" fontId="8" fillId="0" borderId="0" xfId="0" applyFont="1" applyBorder="1" applyAlignment="1">
      <alignment horizontal="left"/>
    </xf>
    <xf numFmtId="0" fontId="7" fillId="0" borderId="43" xfId="0" applyFont="1" applyBorder="1" applyAlignment="1">
      <alignment horizontal="right"/>
    </xf>
    <xf numFmtId="0" fontId="7" fillId="0" borderId="0" xfId="0" applyFont="1" applyBorder="1" applyAlignment="1">
      <alignment horizontal="right"/>
    </xf>
    <xf numFmtId="0" fontId="10" fillId="0" borderId="43" xfId="0" applyFont="1" applyFill="1" applyBorder="1" applyAlignment="1">
      <alignment horizontal="right"/>
    </xf>
    <xf numFmtId="0" fontId="10" fillId="0" borderId="46" xfId="0" applyFont="1" applyFill="1" applyBorder="1" applyAlignment="1">
      <alignment horizontal="right"/>
    </xf>
    <xf numFmtId="0" fontId="10" fillId="15" borderId="14" xfId="0" applyFont="1" applyFill="1" applyBorder="1" applyAlignment="1">
      <alignment horizontal="center" vertical="center" wrapText="1"/>
    </xf>
    <xf numFmtId="0" fontId="10" fillId="15" borderId="31" xfId="0" applyFont="1" applyFill="1" applyBorder="1" applyAlignment="1">
      <alignment horizontal="center" vertical="center" wrapText="1"/>
    </xf>
    <xf numFmtId="0" fontId="10" fillId="15" borderId="1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6" borderId="41" xfId="0" applyFont="1" applyFill="1" applyBorder="1" applyAlignment="1">
      <alignment horizontal="right"/>
    </xf>
    <xf numFmtId="0" fontId="8" fillId="6" borderId="11" xfId="0" applyFont="1" applyFill="1" applyBorder="1" applyAlignment="1">
      <alignment horizontal="right"/>
    </xf>
    <xf numFmtId="0" fontId="8" fillId="6" borderId="1" xfId="0" applyFont="1" applyFill="1" applyBorder="1" applyAlignment="1">
      <alignment horizontal="right"/>
    </xf>
    <xf numFmtId="0" fontId="8" fillId="8" borderId="41" xfId="0" applyFont="1" applyFill="1" applyBorder="1" applyAlignment="1">
      <alignment horizontal="right"/>
    </xf>
    <xf numFmtId="0" fontId="8" fillId="8" borderId="11" xfId="0" applyFont="1" applyFill="1" applyBorder="1" applyAlignment="1">
      <alignment horizontal="right"/>
    </xf>
    <xf numFmtId="0" fontId="8" fillId="8" borderId="1" xfId="0" applyFont="1" applyFill="1" applyBorder="1" applyAlignment="1">
      <alignment horizontal="right"/>
    </xf>
    <xf numFmtId="0" fontId="11" fillId="13" borderId="6" xfId="0" applyFont="1" applyFill="1" applyBorder="1" applyAlignment="1">
      <alignment horizontal="center"/>
    </xf>
    <xf numFmtId="0" fontId="11" fillId="13" borderId="7" xfId="0" applyFont="1" applyFill="1" applyBorder="1" applyAlignment="1">
      <alignment horizontal="center"/>
    </xf>
    <xf numFmtId="0" fontId="11" fillId="13" borderId="8" xfId="0" applyFont="1" applyFill="1" applyBorder="1" applyAlignment="1">
      <alignment horizontal="center"/>
    </xf>
    <xf numFmtId="0" fontId="5" fillId="6" borderId="9" xfId="0" applyFont="1" applyFill="1" applyBorder="1" applyAlignment="1">
      <alignment horizontal="center"/>
    </xf>
    <xf numFmtId="0" fontId="5" fillId="6" borderId="11" xfId="0" applyFont="1" applyFill="1" applyBorder="1" applyAlignment="1">
      <alignment horizontal="center"/>
    </xf>
    <xf numFmtId="0" fontId="5" fillId="0" borderId="9"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left"/>
    </xf>
    <xf numFmtId="0" fontId="8" fillId="15" borderId="21" xfId="0" applyFont="1" applyFill="1" applyBorder="1" applyAlignment="1">
      <alignment horizontal="center" vertical="center" wrapText="1"/>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13" fillId="0" borderId="10" xfId="0" applyFont="1" applyBorder="1" applyAlignment="1">
      <alignment horizontal="center"/>
    </xf>
    <xf numFmtId="0" fontId="5" fillId="0" borderId="1" xfId="0" applyFont="1" applyBorder="1" applyAlignment="1">
      <alignment horizontal="left"/>
    </xf>
    <xf numFmtId="0" fontId="21" fillId="6" borderId="16" xfId="0" applyFont="1" applyFill="1" applyBorder="1" applyAlignment="1">
      <alignment horizontal="center" vertical="center" wrapText="1"/>
    </xf>
    <xf numFmtId="0" fontId="21" fillId="6" borderId="25"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21" fillId="6" borderId="47"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26" fillId="24" borderId="0" xfId="0" applyFont="1" applyFill="1" applyBorder="1" applyAlignment="1">
      <alignment horizontal="right" vertical="center"/>
    </xf>
    <xf numFmtId="0" fontId="26" fillId="24" borderId="15" xfId="0" applyFont="1" applyFill="1" applyBorder="1" applyAlignment="1">
      <alignment horizontal="right" vertical="center"/>
    </xf>
    <xf numFmtId="0" fontId="8" fillId="22" borderId="41" xfId="0" applyFont="1" applyFill="1" applyBorder="1" applyAlignment="1">
      <alignment horizontal="right"/>
    </xf>
    <xf numFmtId="0" fontId="8" fillId="22" borderId="11" xfId="0" applyFont="1" applyFill="1" applyBorder="1" applyAlignment="1">
      <alignment horizontal="right"/>
    </xf>
    <xf numFmtId="0" fontId="8" fillId="22" borderId="1" xfId="0" applyFont="1" applyFill="1" applyBorder="1" applyAlignment="1">
      <alignment horizontal="right"/>
    </xf>
    <xf numFmtId="0" fontId="8" fillId="8" borderId="41" xfId="0" applyFont="1" applyFill="1" applyBorder="1" applyAlignment="1">
      <alignment horizontal="right" vertical="center"/>
    </xf>
    <xf numFmtId="0" fontId="8" fillId="8" borderId="11" xfId="0" applyFont="1" applyFill="1" applyBorder="1" applyAlignment="1">
      <alignment horizontal="right" vertical="center"/>
    </xf>
    <xf numFmtId="0" fontId="8" fillId="8" borderId="1" xfId="0" applyFont="1" applyFill="1" applyBorder="1" applyAlignment="1">
      <alignment horizontal="right" vertical="center"/>
    </xf>
    <xf numFmtId="0" fontId="27" fillId="3" borderId="6" xfId="0" applyFont="1" applyFill="1" applyBorder="1" applyAlignment="1">
      <alignment horizontal="center"/>
    </xf>
    <xf numFmtId="0" fontId="27" fillId="3" borderId="7" xfId="0" applyFont="1" applyFill="1" applyBorder="1" applyAlignment="1">
      <alignment horizontal="center"/>
    </xf>
    <xf numFmtId="0" fontId="27" fillId="3" borderId="8" xfId="0" applyFont="1" applyFill="1" applyBorder="1" applyAlignment="1">
      <alignment horizontal="center"/>
    </xf>
    <xf numFmtId="0" fontId="7" fillId="2" borderId="0" xfId="0" applyFont="1" applyFill="1" applyBorder="1" applyAlignment="1">
      <alignment horizontal="left"/>
    </xf>
    <xf numFmtId="0" fontId="8" fillId="26" borderId="41" xfId="0" applyFont="1" applyFill="1" applyBorder="1" applyAlignment="1">
      <alignment horizontal="right"/>
    </xf>
    <xf numFmtId="0" fontId="8" fillId="26" borderId="1" xfId="0" applyFont="1" applyFill="1" applyBorder="1" applyAlignment="1">
      <alignment horizontal="right"/>
    </xf>
    <xf numFmtId="0" fontId="8" fillId="0" borderId="46" xfId="0" applyFont="1" applyBorder="1" applyAlignment="1">
      <alignment horizontal="left"/>
    </xf>
    <xf numFmtId="0" fontId="10" fillId="8" borderId="41" xfId="0" applyFont="1" applyFill="1" applyBorder="1" applyAlignment="1">
      <alignment horizontal="right" vertical="center"/>
    </xf>
    <xf numFmtId="0" fontId="10" fillId="8" borderId="11" xfId="0" applyFont="1" applyFill="1" applyBorder="1" applyAlignment="1">
      <alignment horizontal="right" vertical="center"/>
    </xf>
    <xf numFmtId="0" fontId="10" fillId="8" borderId="1" xfId="0" applyFont="1" applyFill="1" applyBorder="1" applyAlignment="1">
      <alignment horizontal="right" vertical="center"/>
    </xf>
    <xf numFmtId="0" fontId="8" fillId="0" borderId="0" xfId="0" applyFont="1" applyBorder="1" applyAlignment="1">
      <alignment horizontal="left" vertical="center"/>
    </xf>
    <xf numFmtId="0" fontId="8" fillId="0" borderId="46" xfId="0" applyFont="1" applyBorder="1" applyAlignment="1">
      <alignment horizontal="left" vertical="center"/>
    </xf>
    <xf numFmtId="0" fontId="21" fillId="6" borderId="43" xfId="0" applyFont="1" applyFill="1" applyBorder="1" applyAlignment="1">
      <alignment horizontal="center" vertical="center" wrapText="1"/>
    </xf>
    <xf numFmtId="0" fontId="21" fillId="6" borderId="0" xfId="0" applyFont="1" applyFill="1" applyBorder="1" applyAlignment="1">
      <alignment horizontal="center" vertical="center" wrapText="1"/>
    </xf>
    <xf numFmtId="0" fontId="21" fillId="6" borderId="46" xfId="0" applyFont="1" applyFill="1" applyBorder="1" applyAlignment="1">
      <alignment horizontal="center" vertical="center" wrapText="1"/>
    </xf>
    <xf numFmtId="0" fontId="21" fillId="13" borderId="6" xfId="0" applyFont="1" applyFill="1" applyBorder="1" applyAlignment="1">
      <alignment horizontal="center"/>
    </xf>
    <xf numFmtId="0" fontId="21" fillId="13" borderId="7" xfId="0" applyFont="1" applyFill="1" applyBorder="1" applyAlignment="1">
      <alignment horizontal="center"/>
    </xf>
    <xf numFmtId="0" fontId="21" fillId="13" borderId="8" xfId="0" applyFont="1" applyFill="1" applyBorder="1" applyAlignment="1">
      <alignment horizontal="center"/>
    </xf>
    <xf numFmtId="0" fontId="8" fillId="0" borderId="0" xfId="0" applyFont="1" applyAlignment="1">
      <alignment horizontal="center"/>
    </xf>
    <xf numFmtId="0" fontId="8" fillId="0" borderId="15" xfId="0" applyFont="1" applyBorder="1" applyAlignment="1">
      <alignment horizontal="center"/>
    </xf>
    <xf numFmtId="0" fontId="11" fillId="13" borderId="6" xfId="0" applyFont="1" applyFill="1" applyBorder="1" applyAlignment="1">
      <alignment horizontal="center" vertical="center" wrapText="1"/>
    </xf>
    <xf numFmtId="0" fontId="11" fillId="13" borderId="7" xfId="0" applyFont="1" applyFill="1" applyBorder="1" applyAlignment="1">
      <alignment horizontal="center" vertical="center" wrapText="1"/>
    </xf>
    <xf numFmtId="0" fontId="11" fillId="13" borderId="8" xfId="0" applyFont="1" applyFill="1" applyBorder="1" applyAlignment="1">
      <alignment horizontal="center" vertical="center" wrapText="1"/>
    </xf>
    <xf numFmtId="0" fontId="11" fillId="8" borderId="9" xfId="0" applyFont="1" applyFill="1" applyBorder="1" applyAlignment="1">
      <alignment horizontal="center"/>
    </xf>
    <xf numFmtId="0" fontId="11" fillId="8" borderId="10" xfId="0" applyFont="1" applyFill="1" applyBorder="1" applyAlignment="1">
      <alignment horizontal="center"/>
    </xf>
    <xf numFmtId="0" fontId="11" fillId="8" borderId="11" xfId="0" applyFont="1" applyFill="1" applyBorder="1" applyAlignment="1">
      <alignment horizontal="center"/>
    </xf>
    <xf numFmtId="0" fontId="15" fillId="6" borderId="41" xfId="0" applyFont="1" applyFill="1" applyBorder="1" applyAlignment="1">
      <alignment horizontal="right"/>
    </xf>
    <xf numFmtId="0" fontId="15" fillId="6" borderId="11" xfId="0" applyFont="1" applyFill="1" applyBorder="1" applyAlignment="1">
      <alignment horizontal="right"/>
    </xf>
    <xf numFmtId="0" fontId="15" fillId="6" borderId="1" xfId="0" applyFont="1" applyFill="1" applyBorder="1" applyAlignment="1">
      <alignment horizontal="right"/>
    </xf>
    <xf numFmtId="0" fontId="25" fillId="4" borderId="0" xfId="0" applyFont="1" applyFill="1" applyBorder="1" applyAlignment="1">
      <alignment horizontal="center" vertical="center" wrapText="1"/>
    </xf>
    <xf numFmtId="0" fontId="25" fillId="4" borderId="46" xfId="0" applyFont="1" applyFill="1" applyBorder="1" applyAlignment="1">
      <alignment horizontal="center" vertical="center" wrapText="1"/>
    </xf>
    <xf numFmtId="0" fontId="10" fillId="0" borderId="0" xfId="0" applyFont="1" applyBorder="1" applyAlignment="1">
      <alignment horizontal="left"/>
    </xf>
    <xf numFmtId="0" fontId="7" fillId="15" borderId="1" xfId="0" applyFont="1" applyFill="1" applyBorder="1" applyAlignment="1">
      <alignment horizontal="center" vertical="center" wrapText="1"/>
    </xf>
    <xf numFmtId="0" fontId="13" fillId="0" borderId="62" xfId="0" applyFont="1" applyBorder="1" applyAlignment="1">
      <alignment horizontal="center"/>
    </xf>
    <xf numFmtId="0" fontId="10" fillId="3" borderId="41" xfId="0" applyFont="1" applyFill="1" applyBorder="1" applyAlignment="1">
      <alignment horizontal="right" vertical="center"/>
    </xf>
    <xf numFmtId="0" fontId="10" fillId="3" borderId="11" xfId="0" applyFont="1" applyFill="1" applyBorder="1" applyAlignment="1">
      <alignment horizontal="right" vertical="center"/>
    </xf>
    <xf numFmtId="0" fontId="10" fillId="3" borderId="1" xfId="0" applyFont="1" applyFill="1" applyBorder="1" applyAlignment="1">
      <alignment horizontal="right" vertical="center"/>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0" xfId="0" applyFont="1" applyAlignment="1">
      <alignment horizontal="center" vertical="center" wrapText="1"/>
    </xf>
    <xf numFmtId="0" fontId="22" fillId="0" borderId="46"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29" xfId="0" applyFont="1" applyBorder="1" applyAlignment="1">
      <alignment horizontal="center" vertical="center" wrapText="1"/>
    </xf>
    <xf numFmtId="0" fontId="8" fillId="8" borderId="61" xfId="0" applyFont="1" applyFill="1" applyBorder="1" applyAlignment="1">
      <alignment horizontal="right" vertical="center"/>
    </xf>
    <xf numFmtId="0" fontId="8" fillId="8" borderId="10" xfId="0" applyFont="1" applyFill="1" applyBorder="1" applyAlignment="1">
      <alignment horizontal="right" vertical="center"/>
    </xf>
    <xf numFmtId="0" fontId="8" fillId="25" borderId="41" xfId="0" applyFont="1" applyFill="1" applyBorder="1" applyAlignment="1">
      <alignment horizontal="right" vertical="center"/>
    </xf>
    <xf numFmtId="0" fontId="8" fillId="25" borderId="11" xfId="0" applyFont="1" applyFill="1" applyBorder="1" applyAlignment="1">
      <alignment horizontal="right" vertical="center"/>
    </xf>
    <xf numFmtId="0" fontId="8" fillId="25" borderId="1" xfId="0" applyFont="1" applyFill="1" applyBorder="1" applyAlignment="1">
      <alignment horizontal="right" vertical="center"/>
    </xf>
    <xf numFmtId="0" fontId="8" fillId="22" borderId="41" xfId="0" applyFont="1" applyFill="1" applyBorder="1" applyAlignment="1">
      <alignment horizontal="right" vertical="center"/>
    </xf>
    <xf numFmtId="0" fontId="8" fillId="22" borderId="11" xfId="0" applyFont="1" applyFill="1" applyBorder="1" applyAlignment="1">
      <alignment horizontal="right" vertical="center"/>
    </xf>
    <xf numFmtId="0" fontId="8" fillId="22" borderId="1" xfId="0" applyFont="1" applyFill="1" applyBorder="1" applyAlignment="1">
      <alignment horizontal="right" vertical="center"/>
    </xf>
    <xf numFmtId="0" fontId="8" fillId="0" borderId="45" xfId="0" applyFont="1" applyBorder="1" applyAlignment="1">
      <alignment horizontal="left"/>
    </xf>
    <xf numFmtId="0" fontId="11" fillId="12" borderId="6" xfId="0" applyFont="1" applyFill="1" applyBorder="1" applyAlignment="1">
      <alignment horizontal="center"/>
    </xf>
    <xf numFmtId="0" fontId="11" fillId="12" borderId="7" xfId="0" applyFont="1" applyFill="1" applyBorder="1" applyAlignment="1">
      <alignment horizontal="center"/>
    </xf>
    <xf numFmtId="0" fontId="11" fillId="12" borderId="8" xfId="0" applyFont="1" applyFill="1" applyBorder="1" applyAlignment="1">
      <alignment horizontal="center"/>
    </xf>
    <xf numFmtId="0" fontId="0" fillId="0" borderId="14" xfId="0" applyBorder="1" applyAlignment="1">
      <alignment horizontal="center" vertical="center" wrapText="1"/>
    </xf>
    <xf numFmtId="0" fontId="0" fillId="0" borderId="31" xfId="0" applyBorder="1" applyAlignment="1">
      <alignment horizontal="center" vertical="center" wrapText="1"/>
    </xf>
    <xf numFmtId="0" fontId="0" fillId="0" borderId="18" xfId="0" applyBorder="1" applyAlignment="1">
      <alignment horizontal="center" vertical="center" wrapText="1"/>
    </xf>
    <xf numFmtId="0" fontId="0" fillId="0" borderId="47" xfId="0" applyBorder="1" applyAlignment="1">
      <alignment horizontal="center"/>
    </xf>
    <xf numFmtId="0" fontId="0" fillId="0" borderId="1" xfId="0" applyBorder="1" applyAlignment="1">
      <alignment horizontal="center"/>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7" fillId="20" borderId="16" xfId="0" applyFont="1" applyFill="1" applyBorder="1" applyAlignment="1">
      <alignment horizontal="center" vertical="center" wrapText="1"/>
    </xf>
    <xf numFmtId="0" fontId="7" fillId="20" borderId="25" xfId="0" applyFont="1" applyFill="1" applyBorder="1" applyAlignment="1">
      <alignment horizontal="center" vertical="center" wrapText="1"/>
    </xf>
    <xf numFmtId="0" fontId="7" fillId="20" borderId="26" xfId="0" applyFont="1" applyFill="1" applyBorder="1" applyAlignment="1">
      <alignment horizontal="center" vertical="center" wrapText="1"/>
    </xf>
    <xf numFmtId="0" fontId="7" fillId="20" borderId="43" xfId="0" applyFont="1" applyFill="1" applyBorder="1" applyAlignment="1">
      <alignment horizontal="center" vertical="center" wrapText="1"/>
    </xf>
    <xf numFmtId="0" fontId="7" fillId="20" borderId="0" xfId="0" applyFont="1" applyFill="1" applyBorder="1" applyAlignment="1">
      <alignment horizontal="center" vertical="center" wrapText="1"/>
    </xf>
    <xf numFmtId="0" fontId="7" fillId="20" borderId="46" xfId="0" applyFont="1" applyFill="1" applyBorder="1" applyAlignment="1">
      <alignment horizontal="center" vertical="center" wrapText="1"/>
    </xf>
    <xf numFmtId="0" fontId="7" fillId="20" borderId="18" xfId="0" applyFont="1" applyFill="1" applyBorder="1" applyAlignment="1">
      <alignment horizontal="center" vertical="center" wrapText="1"/>
    </xf>
    <xf numFmtId="0" fontId="7" fillId="20" borderId="47" xfId="0" applyFont="1" applyFill="1" applyBorder="1" applyAlignment="1">
      <alignment horizontal="center" vertical="center" wrapText="1"/>
    </xf>
    <xf numFmtId="0" fontId="7" fillId="20" borderId="29" xfId="0" applyFont="1" applyFill="1" applyBorder="1" applyAlignment="1">
      <alignment horizontal="center" vertical="center" wrapText="1"/>
    </xf>
    <xf numFmtId="0" fontId="0" fillId="0" borderId="24" xfId="0" applyBorder="1" applyAlignment="1">
      <alignment horizontal="center"/>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0" fillId="6" borderId="9" xfId="0" applyFont="1" applyFill="1" applyBorder="1" applyAlignment="1">
      <alignment horizontal="center"/>
    </xf>
    <xf numFmtId="0" fontId="0" fillId="6" borderId="10" xfId="0" applyFont="1" applyFill="1" applyBorder="1" applyAlignment="1">
      <alignment horizontal="center"/>
    </xf>
    <xf numFmtId="0" fontId="0" fillId="6" borderId="11" xfId="0" applyFont="1" applyFill="1" applyBorder="1" applyAlignment="1">
      <alignment horizontal="center"/>
    </xf>
    <xf numFmtId="0" fontId="0" fillId="6" borderId="1" xfId="0" applyFill="1" applyBorder="1" applyAlignment="1">
      <alignment horizontal="center"/>
    </xf>
    <xf numFmtId="0" fontId="0" fillId="6" borderId="9" xfId="0" applyFill="1" applyBorder="1" applyAlignment="1">
      <alignment horizontal="center"/>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5" fillId="6" borderId="1" xfId="0" applyFont="1" applyFill="1" applyBorder="1" applyAlignment="1">
      <alignment horizontal="center"/>
    </xf>
    <xf numFmtId="0" fontId="8" fillId="2" borderId="2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0" xfId="0" applyFont="1" applyFill="1" applyAlignment="1">
      <alignment horizontal="center"/>
    </xf>
    <xf numFmtId="0" fontId="5" fillId="6" borderId="53" xfId="0" applyFont="1" applyFill="1" applyBorder="1" applyAlignment="1">
      <alignment horizontal="center"/>
    </xf>
    <xf numFmtId="0" fontId="5" fillId="6" borderId="49" xfId="0" applyFont="1" applyFill="1" applyBorder="1" applyAlignment="1">
      <alignment horizontal="center"/>
    </xf>
    <xf numFmtId="0" fontId="5" fillId="6" borderId="38" xfId="0" applyFont="1" applyFill="1" applyBorder="1" applyAlignment="1">
      <alignment horizontal="center"/>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9" fillId="4" borderId="0" xfId="0" applyFont="1" applyFill="1" applyBorder="1" applyAlignment="1">
      <alignment horizontal="left"/>
    </xf>
    <xf numFmtId="0" fontId="5" fillId="0" borderId="36" xfId="0" applyFont="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8" xfId="0" applyFont="1" applyFill="1" applyBorder="1" applyAlignment="1">
      <alignment horizontal="center"/>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15" fillId="2" borderId="6" xfId="0" applyFont="1" applyFill="1" applyBorder="1" applyAlignment="1">
      <alignment horizontal="center"/>
    </xf>
    <xf numFmtId="0" fontId="15" fillId="2" borderId="7" xfId="0" applyFont="1" applyFill="1" applyBorder="1" applyAlignment="1">
      <alignment horizontal="center"/>
    </xf>
    <xf numFmtId="0" fontId="15" fillId="2" borderId="8" xfId="0" applyFont="1" applyFill="1" applyBorder="1" applyAlignment="1">
      <alignment horizontal="center"/>
    </xf>
    <xf numFmtId="0" fontId="7" fillId="15" borderId="31"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1" fillId="10" borderId="53" xfId="0" applyFont="1" applyFill="1" applyBorder="1" applyAlignment="1">
      <alignment horizontal="center"/>
    </xf>
    <xf numFmtId="0" fontId="11" fillId="10" borderId="49" xfId="0" applyFont="1" applyFill="1" applyBorder="1" applyAlignment="1">
      <alignment horizontal="center"/>
    </xf>
    <xf numFmtId="0" fontId="46" fillId="4" borderId="16" xfId="0" applyFont="1" applyFill="1" applyBorder="1" applyAlignment="1">
      <alignment horizontal="center"/>
    </xf>
    <xf numFmtId="0" fontId="46" fillId="4" borderId="25" xfId="0" applyFont="1" applyFill="1" applyBorder="1" applyAlignment="1">
      <alignment horizontal="center"/>
    </xf>
    <xf numFmtId="0" fontId="46" fillId="4" borderId="26" xfId="0" applyFont="1" applyFill="1" applyBorder="1" applyAlignment="1">
      <alignment horizontal="center"/>
    </xf>
    <xf numFmtId="0" fontId="46" fillId="4" borderId="18" xfId="0" applyFont="1" applyFill="1" applyBorder="1" applyAlignment="1">
      <alignment horizontal="center"/>
    </xf>
    <xf numFmtId="0" fontId="46" fillId="4" borderId="47" xfId="0" applyFont="1" applyFill="1" applyBorder="1" applyAlignment="1">
      <alignment horizontal="center"/>
    </xf>
    <xf numFmtId="0" fontId="46" fillId="4" borderId="29" xfId="0" applyFont="1" applyFill="1" applyBorder="1" applyAlignment="1">
      <alignment horizont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3" xfId="0" applyFont="1" applyBorder="1" applyAlignment="1">
      <alignment horizontal="center" vertical="center" wrapText="1"/>
    </xf>
    <xf numFmtId="0" fontId="8" fillId="3" borderId="3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11" fillId="8" borderId="45" xfId="0" applyFont="1" applyFill="1" applyBorder="1" applyAlignment="1">
      <alignment horizontal="center"/>
    </xf>
    <xf numFmtId="0" fontId="11" fillId="8" borderId="0" xfId="0" applyFont="1" applyFill="1" applyBorder="1" applyAlignment="1">
      <alignment horizontal="center"/>
    </xf>
    <xf numFmtId="0" fontId="11" fillId="8" borderId="15" xfId="0" applyFont="1" applyFill="1" applyBorder="1" applyAlignment="1">
      <alignment horizontal="center"/>
    </xf>
    <xf numFmtId="0" fontId="10" fillId="8" borderId="45" xfId="0" applyFont="1" applyFill="1" applyBorder="1" applyAlignment="1">
      <alignment horizontal="center"/>
    </xf>
    <xf numFmtId="0" fontId="10" fillId="8" borderId="0" xfId="0" applyFont="1" applyFill="1" applyBorder="1" applyAlignment="1">
      <alignment horizontal="center"/>
    </xf>
    <xf numFmtId="0" fontId="10" fillId="8" borderId="15" xfId="0" applyFont="1" applyFill="1" applyBorder="1" applyAlignment="1">
      <alignment horizontal="center"/>
    </xf>
    <xf numFmtId="0" fontId="7" fillId="8" borderId="60" xfId="0" applyFont="1" applyFill="1" applyBorder="1" applyAlignment="1">
      <alignment horizontal="center" vertical="center" wrapText="1"/>
    </xf>
    <xf numFmtId="0" fontId="7" fillId="8" borderId="66" xfId="0" applyFont="1" applyFill="1" applyBorder="1" applyAlignment="1">
      <alignment horizontal="center" vertical="center" wrapText="1"/>
    </xf>
    <xf numFmtId="0" fontId="7" fillId="6" borderId="44"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8" borderId="24" xfId="0" applyFont="1" applyFill="1" applyBorder="1" applyAlignment="1">
      <alignment horizontal="center" vertical="center" wrapText="1"/>
    </xf>
    <xf numFmtId="0" fontId="7" fillId="25" borderId="19" xfId="0" applyFont="1" applyFill="1" applyBorder="1" applyAlignment="1">
      <alignment horizontal="center" vertical="center" wrapText="1"/>
    </xf>
    <xf numFmtId="0" fontId="7" fillId="25" borderId="24"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5" fillId="20" borderId="12" xfId="0" applyFont="1" applyFill="1" applyBorder="1" applyAlignment="1">
      <alignment horizontal="center" vertical="center" wrapText="1"/>
    </xf>
    <xf numFmtId="0" fontId="5" fillId="20" borderId="5" xfId="0" applyFont="1" applyFill="1" applyBorder="1" applyAlignment="1">
      <alignment horizontal="center" vertical="center" wrapText="1"/>
    </xf>
    <xf numFmtId="0" fontId="14" fillId="16" borderId="12"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8" fillId="0" borderId="49" xfId="0" applyFont="1" applyBorder="1" applyAlignment="1">
      <alignment horizontal="center" vertical="center"/>
    </xf>
    <xf numFmtId="0" fontId="28" fillId="7" borderId="6" xfId="0" applyFont="1" applyFill="1" applyBorder="1" applyAlignment="1">
      <alignment horizontal="center" vertical="center" wrapText="1"/>
    </xf>
    <xf numFmtId="0" fontId="28" fillId="7" borderId="25" xfId="0" applyFont="1" applyFill="1" applyBorder="1" applyAlignment="1">
      <alignment horizontal="center" vertical="center" wrapText="1"/>
    </xf>
    <xf numFmtId="0" fontId="28" fillId="7" borderId="26"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22" fillId="2" borderId="1" xfId="0" applyFont="1" applyFill="1" applyBorder="1" applyAlignment="1">
      <alignment horizontal="center"/>
    </xf>
    <xf numFmtId="0" fontId="29" fillId="7" borderId="6" xfId="0" applyFont="1" applyFill="1" applyBorder="1" applyAlignment="1">
      <alignment horizontal="center" vertical="center" wrapText="1"/>
    </xf>
    <xf numFmtId="0" fontId="29" fillId="7" borderId="7"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8" fillId="14" borderId="6"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8" fillId="14" borderId="8"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69" fontId="13" fillId="0" borderId="40" xfId="0" applyNumberFormat="1" applyFont="1" applyBorder="1" applyAlignment="1">
      <alignment horizontal="center" vertical="center" wrapText="1"/>
    </xf>
    <xf numFmtId="0" fontId="13" fillId="0" borderId="13" xfId="0" applyFont="1" applyBorder="1" applyAlignment="1">
      <alignment horizontal="center" vertical="center" wrapText="1"/>
    </xf>
  </cellXfs>
  <cellStyles count="4">
    <cellStyle name="Comma" xfId="1" builtinId="3"/>
    <cellStyle name="Currency" xfId="3" builtinId="4"/>
    <cellStyle name="Normal" xfId="0" builtinId="0"/>
    <cellStyle name="Percent" xfId="2" builtinId="5"/>
  </cellStyles>
  <dxfs count="15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400"/>
              <a:t>THIRTY YEAR VIEW FROM DATE OF RETIREMENT - </a:t>
            </a:r>
            <a:r>
              <a:rPr lang="en-US" sz="1400">
                <a:solidFill>
                  <a:srgbClr val="FFFF00"/>
                </a:solidFill>
              </a:rPr>
              <a:t>PERSON 1</a:t>
            </a:r>
          </a:p>
          <a:p>
            <a:pPr>
              <a:defRPr sz="1400"/>
            </a:pPr>
            <a:r>
              <a:rPr lang="en-US" sz="1400"/>
              <a:t>VALUE OF</a:t>
            </a:r>
            <a:r>
              <a:rPr lang="en-US" sz="1400" baseline="0"/>
              <a:t> </a:t>
            </a:r>
            <a:r>
              <a:rPr lang="en-US" sz="1400"/>
              <a:t>PENSION</a:t>
            </a:r>
            <a:r>
              <a:rPr lang="en-US" sz="1400" baseline="0"/>
              <a:t> </a:t>
            </a:r>
            <a:r>
              <a:rPr lang="en-US" sz="1400"/>
              <a:t>AND ITS' DECLINING BUYING POWER CONTRASTED </a:t>
            </a:r>
          </a:p>
          <a:p>
            <a:pPr>
              <a:defRPr sz="1400"/>
            </a:pPr>
            <a:r>
              <a:rPr lang="en-US" sz="1400"/>
              <a:t>WITH A PENSION THAT RISES </a:t>
            </a:r>
            <a:r>
              <a:rPr lang="en-US" sz="1400" baseline="0"/>
              <a:t>IN VALUE BASED ON RPI</a:t>
            </a:r>
          </a:p>
          <a:p>
            <a:pPr>
              <a:defRPr sz="1400"/>
            </a:pPr>
            <a:endParaRPr lang="en-US" sz="1400"/>
          </a:p>
        </c:rich>
      </c:tx>
      <c:layout>
        <c:manualLayout>
          <c:xMode val="edge"/>
          <c:yMode val="edge"/>
          <c:x val="0.30878039724192569"/>
          <c:y val="4.0572483326269768E-2"/>
        </c:manualLayout>
      </c:layout>
      <c:overlay val="0"/>
      <c:spPr>
        <a:noFill/>
        <a:ln>
          <a:solidFill>
            <a:schemeClr val="bg1"/>
          </a:solidFill>
        </a:ln>
        <a:effectLst/>
      </c:spPr>
      <c:txPr>
        <a:bodyPr rot="0" spcFirstLastPara="1" vertOverflow="ellipsis" vert="horz" wrap="square" anchor="ctr" anchorCtr="1"/>
        <a:lstStyle/>
        <a:p>
          <a:pPr>
            <a:defRPr sz="14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9.9459235018240402E-2"/>
          <c:y val="2.1158645550292489E-2"/>
          <c:w val="0.85730831148801334"/>
          <c:h val="0.82071429337634483"/>
        </c:manualLayout>
      </c:layout>
      <c:lineChart>
        <c:grouping val="standard"/>
        <c:varyColors val="0"/>
        <c:ser>
          <c:idx val="0"/>
          <c:order val="0"/>
          <c:tx>
            <c:strRef>
              <c:f>'DETAILED MODELLER - PERSON 1'!$D$97</c:f>
              <c:strCache>
                <c:ptCount val="1"/>
                <c:pt idx="0">
                  <c:v>PENSION BUYING POWER</c:v>
                </c:pt>
              </c:strCache>
            </c:strRef>
          </c:tx>
          <c:spPr>
            <a:ln w="41275" cap="rnd">
              <a:solidFill>
                <a:srgbClr val="FF0000"/>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1'!$D$98:$D$127</c:f>
              <c:numCache>
                <c:formatCode>"£"#,##0</c:formatCode>
                <c:ptCount val="30"/>
                <c:pt idx="0">
                  <c:v>14732.562929061784</c:v>
                </c:pt>
                <c:pt idx="1">
                  <c:v>14306.291623596846</c:v>
                </c:pt>
                <c:pt idx="2">
                  <c:v>14020.72874418518</c:v>
                </c:pt>
                <c:pt idx="3">
                  <c:v>13707.877290523968</c:v>
                </c:pt>
                <c:pt idx="4">
                  <c:v>13466.848500663327</c:v>
                </c:pt>
                <c:pt idx="5">
                  <c:v>13219.380090228231</c:v>
                </c:pt>
                <c:pt idx="6">
                  <c:v>12965.338178733597</c:v>
                </c:pt>
                <c:pt idx="7">
                  <c:v>12704.586192094659</c:v>
                </c:pt>
                <c:pt idx="8">
                  <c:v>12436.984808704725</c:v>
                </c:pt>
                <c:pt idx="9">
                  <c:v>12162.391904434338</c:v>
                </c:pt>
                <c:pt idx="10">
                  <c:v>11880.662496530236</c:v>
                </c:pt>
                <c:pt idx="11">
                  <c:v>11591.648686392164</c:v>
                </c:pt>
                <c:pt idx="12">
                  <c:v>11295.19960120504</c:v>
                </c:pt>
                <c:pt idx="13">
                  <c:v>10991.161334403627</c:v>
                </c:pt>
                <c:pt idx="14">
                  <c:v>10679.376884946305</c:v>
                </c:pt>
                <c:pt idx="15">
                  <c:v>10359.686095374193</c:v>
                </c:pt>
                <c:pt idx="16">
                  <c:v>10031.925588631264</c:v>
                </c:pt>
                <c:pt idx="17">
                  <c:v>9695.9287036207243</c:v>
                </c:pt>
                <c:pt idx="18">
                  <c:v>9351.5254294723345</c:v>
                </c:pt>
                <c:pt idx="19">
                  <c:v>8998.5423384949281</c:v>
                </c:pt>
                <c:pt idx="20">
                  <c:v>8636.8025177878153</c:v>
                </c:pt>
                <c:pt idx="21">
                  <c:v>8266.1254994842529</c:v>
                </c:pt>
                <c:pt idx="22">
                  <c:v>7886.3271895996113</c:v>
                </c:pt>
                <c:pt idx="23">
                  <c:v>7497.2197954563453</c:v>
                </c:pt>
                <c:pt idx="24">
                  <c:v>7098.6117516572995</c:v>
                </c:pt>
                <c:pt idx="25">
                  <c:v>6690.3076445783045</c:v>
                </c:pt>
                <c:pt idx="26">
                  <c:v>6272.1081353504815</c:v>
                </c:pt>
                <c:pt idx="27">
                  <c:v>5843.8098813020006</c:v>
                </c:pt>
                <c:pt idx="28">
                  <c:v>5405.205455828509</c:v>
                </c:pt>
                <c:pt idx="29">
                  <c:v>4956.0832666608294</c:v>
                </c:pt>
              </c:numCache>
            </c:numRef>
          </c:val>
          <c:smooth val="0"/>
          <c:extLst>
            <c:ext xmlns:c16="http://schemas.microsoft.com/office/drawing/2014/chart" uri="{C3380CC4-5D6E-409C-BE32-E72D297353CC}">
              <c16:uniqueId val="{00000000-A235-ED4F-8F65-BA957CE330C4}"/>
            </c:ext>
          </c:extLst>
        </c:ser>
        <c:ser>
          <c:idx val="6"/>
          <c:order val="1"/>
          <c:tx>
            <c:strRef>
              <c:f>'DETAILED MODELLER - PERSON 1'!$J$97</c:f>
              <c:strCache>
                <c:ptCount val="1"/>
                <c:pt idx="0">
                  <c:v>RPI BASED PENSION VALUE(£)</c:v>
                </c:pt>
              </c:strCache>
            </c:strRef>
          </c:tx>
          <c:spPr>
            <a:ln w="41275" cap="rnd">
              <a:solidFill>
                <a:srgbClr val="00B050"/>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1'!$J$98:$J$127</c:f>
              <c:numCache>
                <c:formatCode>"£"#,##0</c:formatCode>
                <c:ptCount val="30"/>
                <c:pt idx="0">
                  <c:v>15390</c:v>
                </c:pt>
                <c:pt idx="1">
                  <c:v>16005.6</c:v>
                </c:pt>
                <c:pt idx="2">
                  <c:v>16412.142240000001</c:v>
                </c:pt>
                <c:pt idx="3">
                  <c:v>16853.628866256</c:v>
                </c:pt>
                <c:pt idx="4">
                  <c:v>17190.701443581122</c:v>
                </c:pt>
                <c:pt idx="5">
                  <c:v>17534.515472452746</c:v>
                </c:pt>
                <c:pt idx="6">
                  <c:v>17885.205781901801</c:v>
                </c:pt>
                <c:pt idx="7">
                  <c:v>18242.909897539837</c:v>
                </c:pt>
                <c:pt idx="8">
                  <c:v>18607.768095490635</c:v>
                </c:pt>
                <c:pt idx="9">
                  <c:v>18979.923457400448</c:v>
                </c:pt>
                <c:pt idx="10">
                  <c:v>19359.521926548456</c:v>
                </c:pt>
                <c:pt idx="11">
                  <c:v>19746.712365079424</c:v>
                </c:pt>
                <c:pt idx="12">
                  <c:v>20141.646612381013</c:v>
                </c:pt>
                <c:pt idx="13">
                  <c:v>20544.479544628633</c:v>
                </c:pt>
                <c:pt idx="14">
                  <c:v>20955.369135521207</c:v>
                </c:pt>
                <c:pt idx="15">
                  <c:v>21374.47651823163</c:v>
                </c:pt>
                <c:pt idx="16">
                  <c:v>21801.966048596263</c:v>
                </c:pt>
                <c:pt idx="17">
                  <c:v>22238.005369568189</c:v>
                </c:pt>
                <c:pt idx="18">
                  <c:v>22682.765476959554</c:v>
                </c:pt>
                <c:pt idx="19">
                  <c:v>23136.420786498744</c:v>
                </c:pt>
                <c:pt idx="20">
                  <c:v>23599.14920222872</c:v>
                </c:pt>
                <c:pt idx="21">
                  <c:v>24071.132186273295</c:v>
                </c:pt>
                <c:pt idx="22">
                  <c:v>24552.55482999876</c:v>
                </c:pt>
                <c:pt idx="23">
                  <c:v>25043.605926598735</c:v>
                </c:pt>
                <c:pt idx="24">
                  <c:v>25544.478045130709</c:v>
                </c:pt>
                <c:pt idx="25">
                  <c:v>26055.367606033324</c:v>
                </c:pt>
                <c:pt idx="26">
                  <c:v>26576.474958153991</c:v>
                </c:pt>
                <c:pt idx="27">
                  <c:v>27108.004457317071</c:v>
                </c:pt>
                <c:pt idx="28">
                  <c:v>27650.164546463413</c:v>
                </c:pt>
                <c:pt idx="29">
                  <c:v>28203.167837392681</c:v>
                </c:pt>
              </c:numCache>
            </c:numRef>
          </c:val>
          <c:smooth val="0"/>
          <c:extLst>
            <c:ext xmlns:c16="http://schemas.microsoft.com/office/drawing/2014/chart" uri="{C3380CC4-5D6E-409C-BE32-E72D297353CC}">
              <c16:uniqueId val="{00000001-A235-ED4F-8F65-BA957CE330C4}"/>
            </c:ext>
          </c:extLst>
        </c:ser>
        <c:ser>
          <c:idx val="7"/>
          <c:order val="2"/>
          <c:tx>
            <c:strRef>
              <c:f>'DETAILED MODELLER - PERSON 1'!$K$97</c:f>
              <c:strCache>
                <c:ptCount val="1"/>
                <c:pt idx="0">
                  <c:v>CURRENT PENSION VALUE(£)</c:v>
                </c:pt>
              </c:strCache>
            </c:strRef>
          </c:tx>
          <c:spPr>
            <a:ln w="41275" cap="rnd">
              <a:solidFill>
                <a:schemeClr val="bg1"/>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1'!$K$98:$K$127</c:f>
              <c:numCache>
                <c:formatCode>"£"#,##0</c:formatCode>
                <c:ptCount val="30"/>
                <c:pt idx="0">
                  <c:v>15061.281464530892</c:v>
                </c:pt>
                <c:pt idx="1">
                  <c:v>15155.945811798423</c:v>
                </c:pt>
                <c:pt idx="2">
                  <c:v>15216.435492092591</c:v>
                </c:pt>
                <c:pt idx="3">
                  <c:v>15280.753078389984</c:v>
                </c:pt>
                <c:pt idx="4">
                  <c:v>15328.774972122224</c:v>
                </c:pt>
                <c:pt idx="5">
                  <c:v>15376.947781340488</c:v>
                </c:pt>
                <c:pt idx="6">
                  <c:v>15425.271980317699</c:v>
                </c:pt>
                <c:pt idx="7">
                  <c:v>15473.748044817248</c:v>
                </c:pt>
                <c:pt idx="8">
                  <c:v>15522.37645209768</c:v>
                </c:pt>
                <c:pt idx="9">
                  <c:v>15571.157680917393</c:v>
                </c:pt>
                <c:pt idx="10">
                  <c:v>15620.092211539346</c:v>
                </c:pt>
                <c:pt idx="11">
                  <c:v>15669.180525735794</c:v>
                </c:pt>
                <c:pt idx="12">
                  <c:v>15718.423106793027</c:v>
                </c:pt>
                <c:pt idx="13">
                  <c:v>15767.82043951613</c:v>
                </c:pt>
                <c:pt idx="14">
                  <c:v>15817.373010233756</c:v>
                </c:pt>
                <c:pt idx="15">
                  <c:v>15867.081306802911</c:v>
                </c:pt>
                <c:pt idx="16">
                  <c:v>15916.945818613764</c:v>
                </c:pt>
                <c:pt idx="17">
                  <c:v>15966.967036594457</c:v>
                </c:pt>
                <c:pt idx="18">
                  <c:v>16017.145453215944</c:v>
                </c:pt>
                <c:pt idx="19">
                  <c:v>16067.481562496836</c:v>
                </c:pt>
                <c:pt idx="20">
                  <c:v>16117.975860008268</c:v>
                </c:pt>
                <c:pt idx="21">
                  <c:v>16168.628842878774</c:v>
                </c:pt>
                <c:pt idx="22">
                  <c:v>16219.441009799186</c:v>
                </c:pt>
                <c:pt idx="23">
                  <c:v>16270.41286102754</c:v>
                </c:pt>
                <c:pt idx="24">
                  <c:v>16321.544898394004</c:v>
                </c:pt>
                <c:pt idx="25">
                  <c:v>16372.837625305814</c:v>
                </c:pt>
                <c:pt idx="26">
                  <c:v>16424.291546752236</c:v>
                </c:pt>
                <c:pt idx="27">
                  <c:v>16475.907169309536</c:v>
                </c:pt>
                <c:pt idx="28">
                  <c:v>16527.685001145961</c:v>
                </c:pt>
                <c:pt idx="29">
                  <c:v>16579.625552026755</c:v>
                </c:pt>
              </c:numCache>
            </c:numRef>
          </c:val>
          <c:smooth val="0"/>
          <c:extLst>
            <c:ext xmlns:c16="http://schemas.microsoft.com/office/drawing/2014/chart" uri="{C3380CC4-5D6E-409C-BE32-E72D297353CC}">
              <c16:uniqueId val="{00000002-A235-ED4F-8F65-BA957CE330C4}"/>
            </c:ext>
          </c:extLst>
        </c:ser>
        <c:dLbls>
          <c:showLegendKey val="0"/>
          <c:showVal val="0"/>
          <c:showCatName val="0"/>
          <c:showSerName val="0"/>
          <c:showPercent val="0"/>
          <c:showBubbleSize val="0"/>
        </c:dLbls>
        <c:smooth val="0"/>
        <c:axId val="273423983"/>
        <c:axId val="225143615"/>
      </c:lineChart>
      <c:catAx>
        <c:axId val="27342398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25143615"/>
        <c:crosses val="autoZero"/>
        <c:auto val="1"/>
        <c:lblAlgn val="ctr"/>
        <c:lblOffset val="100"/>
        <c:noMultiLvlLbl val="0"/>
      </c:catAx>
      <c:valAx>
        <c:axId val="225143615"/>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Axis Title</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73423983"/>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baseline="0"/>
              <a:t>THIRTY YEAR VIEW FROM DATE OF RETIREMENT - </a:t>
            </a:r>
            <a:r>
              <a:rPr lang="en-US" baseline="0">
                <a:solidFill>
                  <a:srgbClr val="FFFF00"/>
                </a:solidFill>
              </a:rPr>
              <a:t>PERSON 1</a:t>
            </a:r>
          </a:p>
          <a:p>
            <a:pPr>
              <a:defRPr/>
            </a:pPr>
            <a:r>
              <a:rPr lang="en-US" baseline="0"/>
              <a:t>CUMULATIVE INCOME SHORTFALL OF PENSION AGAINST A PENSION THAT RISES WITH INFLATION</a:t>
            </a:r>
          </a:p>
          <a:p>
            <a:pPr>
              <a:defRPr/>
            </a:pPr>
            <a:endParaRPr lang="en-US" baseline="0"/>
          </a:p>
          <a:p>
            <a:pPr>
              <a:defRPr/>
            </a:pPr>
            <a:r>
              <a:rPr lang="en-US" sz="2400" baseline="0"/>
              <a:t>(£000s) </a:t>
            </a:r>
          </a:p>
        </c:rich>
      </c:tx>
      <c:layout>
        <c:manualLayout>
          <c:xMode val="edge"/>
          <c:yMode val="edge"/>
          <c:x val="0.2281813042600444"/>
          <c:y val="5.6497168857915295E-3"/>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'DETAILED MODELLER - PERSON 1'!$D$63</c:f>
              <c:strCache>
                <c:ptCount val="1"/>
                <c:pt idx="0">
                  <c:v>RPI PENSION (000S)</c:v>
                </c:pt>
              </c:strCache>
            </c:strRef>
          </c:tx>
          <c:spPr>
            <a:ln w="34925" cap="rnd">
              <a:solidFill>
                <a:srgbClr val="00B050"/>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1'!$D$64:$D$93</c:f>
              <c:numCache>
                <c:formatCode>_(* #,##0.0_);_(* \(#,##0.0\);_(* "-"??_);_(@_)</c:formatCode>
                <c:ptCount val="30"/>
                <c:pt idx="0">
                  <c:v>15.39</c:v>
                </c:pt>
                <c:pt idx="1">
                  <c:v>16.005600000000001</c:v>
                </c:pt>
                <c:pt idx="2">
                  <c:v>16.412142240000001</c:v>
                </c:pt>
                <c:pt idx="3">
                  <c:v>16.853628866255999</c:v>
                </c:pt>
                <c:pt idx="4">
                  <c:v>17.190701443581123</c:v>
                </c:pt>
                <c:pt idx="5">
                  <c:v>17.534515472452746</c:v>
                </c:pt>
                <c:pt idx="6">
                  <c:v>17.885205781901799</c:v>
                </c:pt>
                <c:pt idx="7">
                  <c:v>18.242909897539839</c:v>
                </c:pt>
                <c:pt idx="8">
                  <c:v>18.607768095490634</c:v>
                </c:pt>
                <c:pt idx="9">
                  <c:v>18.979923457400449</c:v>
                </c:pt>
                <c:pt idx="10">
                  <c:v>19.359521926548457</c:v>
                </c:pt>
                <c:pt idx="11">
                  <c:v>19.746712365079425</c:v>
                </c:pt>
                <c:pt idx="12">
                  <c:v>20.141646612381013</c:v>
                </c:pt>
                <c:pt idx="13">
                  <c:v>20.544479544628633</c:v>
                </c:pt>
                <c:pt idx="14">
                  <c:v>20.955369135521206</c:v>
                </c:pt>
                <c:pt idx="15">
                  <c:v>21.374476518231628</c:v>
                </c:pt>
                <c:pt idx="16">
                  <c:v>21.801966048596263</c:v>
                </c:pt>
                <c:pt idx="17">
                  <c:v>22.238005369568189</c:v>
                </c:pt>
                <c:pt idx="18">
                  <c:v>22.682765476959553</c:v>
                </c:pt>
                <c:pt idx="19">
                  <c:v>23.136420786498743</c:v>
                </c:pt>
                <c:pt idx="20">
                  <c:v>23.59914920222872</c:v>
                </c:pt>
                <c:pt idx="21">
                  <c:v>24.071132186273296</c:v>
                </c:pt>
                <c:pt idx="22">
                  <c:v>24.552554829998762</c:v>
                </c:pt>
                <c:pt idx="23">
                  <c:v>25.043605926598737</c:v>
                </c:pt>
                <c:pt idx="24">
                  <c:v>25.54447804513071</c:v>
                </c:pt>
                <c:pt idx="25">
                  <c:v>26.055367606033325</c:v>
                </c:pt>
                <c:pt idx="26">
                  <c:v>26.576474958153991</c:v>
                </c:pt>
                <c:pt idx="27">
                  <c:v>27.108004457317072</c:v>
                </c:pt>
                <c:pt idx="28">
                  <c:v>27.650164546463412</c:v>
                </c:pt>
                <c:pt idx="29">
                  <c:v>28.20316783739268</c:v>
                </c:pt>
              </c:numCache>
            </c:numRef>
          </c:val>
          <c:smooth val="0"/>
          <c:extLst>
            <c:ext xmlns:c16="http://schemas.microsoft.com/office/drawing/2014/chart" uri="{C3380CC4-5D6E-409C-BE32-E72D297353CC}">
              <c16:uniqueId val="{00000000-FA3F-8D44-96E4-FD523720C7A0}"/>
            </c:ext>
          </c:extLst>
        </c:ser>
        <c:ser>
          <c:idx val="1"/>
          <c:order val="1"/>
          <c:tx>
            <c:strRef>
              <c:f>'DETAILED MODELLER - PERSON 1'!$E$63</c:f>
              <c:strCache>
                <c:ptCount val="1"/>
                <c:pt idx="0">
                  <c:v>CURRENT PENSION </c:v>
                </c:pt>
              </c:strCache>
            </c:strRef>
          </c:tx>
          <c:spPr>
            <a:ln w="34925" cap="rnd">
              <a:solidFill>
                <a:schemeClr val="bg1"/>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1'!$E$64:$E$93</c:f>
              <c:numCache>
                <c:formatCode>_(* #,##0.0_);_(* \(#,##0.0\);_(* "-"??_);_(@_)</c:formatCode>
                <c:ptCount val="30"/>
                <c:pt idx="0">
                  <c:v>15.061281464530891</c:v>
                </c:pt>
                <c:pt idx="1">
                  <c:v>15.155945811798423</c:v>
                </c:pt>
                <c:pt idx="2">
                  <c:v>15.216435492092591</c:v>
                </c:pt>
                <c:pt idx="3">
                  <c:v>15.280753078389983</c:v>
                </c:pt>
                <c:pt idx="4">
                  <c:v>15.328774972122224</c:v>
                </c:pt>
                <c:pt idx="5">
                  <c:v>15.376947781340489</c:v>
                </c:pt>
                <c:pt idx="6">
                  <c:v>15.425271980317699</c:v>
                </c:pt>
                <c:pt idx="7">
                  <c:v>15.473748044817249</c:v>
                </c:pt>
                <c:pt idx="8">
                  <c:v>15.52237645209768</c:v>
                </c:pt>
                <c:pt idx="9">
                  <c:v>15.571157680917393</c:v>
                </c:pt>
                <c:pt idx="10">
                  <c:v>15.620092211539346</c:v>
                </c:pt>
                <c:pt idx="11">
                  <c:v>15.669180525735793</c:v>
                </c:pt>
                <c:pt idx="12">
                  <c:v>15.718423106793027</c:v>
                </c:pt>
                <c:pt idx="13">
                  <c:v>15.767820439516131</c:v>
                </c:pt>
                <c:pt idx="14">
                  <c:v>15.817373010233755</c:v>
                </c:pt>
                <c:pt idx="15">
                  <c:v>15.867081306802911</c:v>
                </c:pt>
                <c:pt idx="16">
                  <c:v>15.916945818613764</c:v>
                </c:pt>
                <c:pt idx="17">
                  <c:v>15.966967036594456</c:v>
                </c:pt>
                <c:pt idx="18">
                  <c:v>16.017145453215946</c:v>
                </c:pt>
                <c:pt idx="19">
                  <c:v>16.067481562496837</c:v>
                </c:pt>
                <c:pt idx="20">
                  <c:v>16.117975860008269</c:v>
                </c:pt>
                <c:pt idx="21">
                  <c:v>16.168628842878775</c:v>
                </c:pt>
                <c:pt idx="22">
                  <c:v>16.219441009799187</c:v>
                </c:pt>
                <c:pt idx="23">
                  <c:v>16.270412861027541</c:v>
                </c:pt>
                <c:pt idx="24">
                  <c:v>16.321544898394006</c:v>
                </c:pt>
                <c:pt idx="25">
                  <c:v>16.372837625305813</c:v>
                </c:pt>
                <c:pt idx="26">
                  <c:v>16.424291546752237</c:v>
                </c:pt>
                <c:pt idx="27">
                  <c:v>16.475907169309536</c:v>
                </c:pt>
                <c:pt idx="28">
                  <c:v>16.527685001145962</c:v>
                </c:pt>
                <c:pt idx="29">
                  <c:v>16.579625552026755</c:v>
                </c:pt>
              </c:numCache>
            </c:numRef>
          </c:val>
          <c:smooth val="0"/>
          <c:extLst>
            <c:ext xmlns:c16="http://schemas.microsoft.com/office/drawing/2014/chart" uri="{C3380CC4-5D6E-409C-BE32-E72D297353CC}">
              <c16:uniqueId val="{00000001-FA3F-8D44-96E4-FD523720C7A0}"/>
            </c:ext>
          </c:extLst>
        </c:ser>
        <c:ser>
          <c:idx val="2"/>
          <c:order val="2"/>
          <c:tx>
            <c:strRef>
              <c:f>'DETAILED MODELLER - PERSON 1'!$F$63</c:f>
              <c:strCache>
                <c:ptCount val="1"/>
                <c:pt idx="0">
                  <c:v>TOTAL INCOME SHORTFALL </c:v>
                </c:pt>
              </c:strCache>
            </c:strRef>
          </c:tx>
          <c:spPr>
            <a:ln w="34925" cap="rnd">
              <a:solidFill>
                <a:srgbClr val="C00000"/>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1'!$F$64:$F$93</c:f>
              <c:numCache>
                <c:formatCode>#,##0.0</c:formatCode>
                <c:ptCount val="30"/>
                <c:pt idx="0">
                  <c:v>-0.32871853546910823</c:v>
                </c:pt>
                <c:pt idx="1">
                  <c:v>-1.1783727236706854</c:v>
                </c:pt>
                <c:pt idx="2">
                  <c:v>-2.3740794715780957</c:v>
                </c:pt>
                <c:pt idx="3">
                  <c:v>-3.946955259444112</c:v>
                </c:pt>
                <c:pt idx="4">
                  <c:v>-5.8088817309030087</c:v>
                </c:pt>
                <c:pt idx="5">
                  <c:v>-7.9664494220152662</c:v>
                </c:pt>
                <c:pt idx="6">
                  <c:v>-10.426383223599368</c:v>
                </c:pt>
                <c:pt idx="7">
                  <c:v>-13.195545076321958</c:v>
                </c:pt>
                <c:pt idx="8">
                  <c:v>-16.280936719714912</c:v>
                </c:pt>
                <c:pt idx="9">
                  <c:v>-19.68970249619797</c:v>
                </c:pt>
                <c:pt idx="10">
                  <c:v>-23.429132211207076</c:v>
                </c:pt>
                <c:pt idx="11">
                  <c:v>-27.506664050550711</c:v>
                </c:pt>
                <c:pt idx="12">
                  <c:v>-31.929887556138695</c:v>
                </c:pt>
                <c:pt idx="13">
                  <c:v>-36.706546661251195</c:v>
                </c:pt>
                <c:pt idx="14">
                  <c:v>-41.844542786538646</c:v>
                </c:pt>
                <c:pt idx="15">
                  <c:v>-47.351937997967362</c:v>
                </c:pt>
                <c:pt idx="16">
                  <c:v>-53.236958227949856</c:v>
                </c:pt>
                <c:pt idx="17">
                  <c:v>-59.507996560923587</c:v>
                </c:pt>
                <c:pt idx="18">
                  <c:v>-66.173616584667201</c:v>
                </c:pt>
                <c:pt idx="19">
                  <c:v>-73.242555808669096</c:v>
                </c:pt>
                <c:pt idx="20">
                  <c:v>-80.723729150889554</c:v>
                </c:pt>
                <c:pt idx="21">
                  <c:v>-88.626232494284082</c:v>
                </c:pt>
                <c:pt idx="22">
                  <c:v>-96.959346314483653</c:v>
                </c:pt>
                <c:pt idx="23">
                  <c:v>-105.73253938005485</c:v>
                </c:pt>
                <c:pt idx="24">
                  <c:v>-114.95547252679155</c:v>
                </c:pt>
                <c:pt idx="25">
                  <c:v>-124.63800250751906</c:v>
                </c:pt>
                <c:pt idx="26">
                  <c:v>-134.79018591892083</c:v>
                </c:pt>
                <c:pt idx="27">
                  <c:v>-145.42228320692834</c:v>
                </c:pt>
                <c:pt idx="28">
                  <c:v>-156.54476275224579</c:v>
                </c:pt>
                <c:pt idx="29">
                  <c:v>-168.16830503761173</c:v>
                </c:pt>
              </c:numCache>
            </c:numRef>
          </c:val>
          <c:smooth val="0"/>
          <c:extLst>
            <c:ext xmlns:c16="http://schemas.microsoft.com/office/drawing/2014/chart" uri="{C3380CC4-5D6E-409C-BE32-E72D297353CC}">
              <c16:uniqueId val="{00000002-FA3F-8D44-96E4-FD523720C7A0}"/>
            </c:ext>
          </c:extLst>
        </c:ser>
        <c:dLbls>
          <c:showLegendKey val="0"/>
          <c:showVal val="0"/>
          <c:showCatName val="0"/>
          <c:showSerName val="0"/>
          <c:showPercent val="0"/>
          <c:showBubbleSize val="0"/>
        </c:dLbls>
        <c:smooth val="0"/>
        <c:axId val="273423983"/>
        <c:axId val="225143615"/>
      </c:lineChart>
      <c:catAx>
        <c:axId val="27342398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25143615"/>
        <c:crosses val="autoZero"/>
        <c:auto val="1"/>
        <c:lblAlgn val="ctr"/>
        <c:lblOffset val="100"/>
        <c:noMultiLvlLbl val="0"/>
      </c:catAx>
      <c:valAx>
        <c:axId val="225143615"/>
        <c:scaling>
          <c:orientation val="minMax"/>
        </c:scaling>
        <c:delete val="0"/>
        <c:axPos val="l"/>
        <c:majorGridlines>
          <c:spPr>
            <a:ln w="9525" cap="flat" cmpd="sng" algn="ctr">
              <a:solidFill>
                <a:schemeClr val="lt1">
                  <a:lumMod val="95000"/>
                  <a:alpha val="10000"/>
                </a:schemeClr>
              </a:solidFill>
              <a:round/>
            </a:ln>
            <a:effectLst/>
          </c:spPr>
        </c:majorGridlines>
        <c:title>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73423983"/>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baseline="0"/>
              <a:t>THIRTY YEAR VIEW FROM DATE OF RETIREMENT - </a:t>
            </a:r>
            <a:r>
              <a:rPr lang="en-US" baseline="0">
                <a:solidFill>
                  <a:srgbClr val="FFFF00"/>
                </a:solidFill>
              </a:rPr>
              <a:t>PERSON 1</a:t>
            </a:r>
          </a:p>
          <a:p>
            <a:pPr>
              <a:defRPr/>
            </a:pPr>
            <a:r>
              <a:rPr lang="en-US" baseline="0"/>
              <a:t>CUMULATIVE INCOME SHORTFALL OF PENSION AGAINST A PENSION THAT RISES WITH INFLATION</a:t>
            </a:r>
          </a:p>
          <a:p>
            <a:pPr>
              <a:defRPr/>
            </a:pPr>
            <a:r>
              <a:rPr lang="en-US" baseline="0"/>
              <a:t>AND THE POSITIVE IMPACT OF ALTERNATIVE STRATEGIES FOR DISCRETIONARY INCREASES TO REDUCE DECLINE OVER LIFETIME </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'DETAILED MODELLER - PERSON 1'!$D$63</c:f>
              <c:strCache>
                <c:ptCount val="1"/>
                <c:pt idx="0">
                  <c:v>RPI PENSION (000S)</c:v>
                </c:pt>
              </c:strCache>
            </c:strRef>
          </c:tx>
          <c:spPr>
            <a:ln w="34925" cap="rnd">
              <a:solidFill>
                <a:srgbClr val="00B050"/>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1'!$D$64:$D$93</c:f>
              <c:numCache>
                <c:formatCode>_(* #,##0.0_);_(* \(#,##0.0\);_(* "-"??_);_(@_)</c:formatCode>
                <c:ptCount val="30"/>
                <c:pt idx="0">
                  <c:v>15.39</c:v>
                </c:pt>
                <c:pt idx="1">
                  <c:v>16.005600000000001</c:v>
                </c:pt>
                <c:pt idx="2">
                  <c:v>16.412142240000001</c:v>
                </c:pt>
                <c:pt idx="3">
                  <c:v>16.853628866255999</c:v>
                </c:pt>
                <c:pt idx="4">
                  <c:v>17.190701443581123</c:v>
                </c:pt>
                <c:pt idx="5">
                  <c:v>17.534515472452746</c:v>
                </c:pt>
                <c:pt idx="6">
                  <c:v>17.885205781901799</c:v>
                </c:pt>
                <c:pt idx="7">
                  <c:v>18.242909897539839</c:v>
                </c:pt>
                <c:pt idx="8">
                  <c:v>18.607768095490634</c:v>
                </c:pt>
                <c:pt idx="9">
                  <c:v>18.979923457400449</c:v>
                </c:pt>
                <c:pt idx="10">
                  <c:v>19.359521926548457</c:v>
                </c:pt>
                <c:pt idx="11">
                  <c:v>19.746712365079425</c:v>
                </c:pt>
                <c:pt idx="12">
                  <c:v>20.141646612381013</c:v>
                </c:pt>
                <c:pt idx="13">
                  <c:v>20.544479544628633</c:v>
                </c:pt>
                <c:pt idx="14">
                  <c:v>20.955369135521206</c:v>
                </c:pt>
                <c:pt idx="15">
                  <c:v>21.374476518231628</c:v>
                </c:pt>
                <c:pt idx="16">
                  <c:v>21.801966048596263</c:v>
                </c:pt>
                <c:pt idx="17">
                  <c:v>22.238005369568189</c:v>
                </c:pt>
                <c:pt idx="18">
                  <c:v>22.682765476959553</c:v>
                </c:pt>
                <c:pt idx="19">
                  <c:v>23.136420786498743</c:v>
                </c:pt>
                <c:pt idx="20">
                  <c:v>23.59914920222872</c:v>
                </c:pt>
                <c:pt idx="21">
                  <c:v>24.071132186273296</c:v>
                </c:pt>
                <c:pt idx="22">
                  <c:v>24.552554829998762</c:v>
                </c:pt>
                <c:pt idx="23">
                  <c:v>25.043605926598737</c:v>
                </c:pt>
                <c:pt idx="24">
                  <c:v>25.54447804513071</c:v>
                </c:pt>
                <c:pt idx="25">
                  <c:v>26.055367606033325</c:v>
                </c:pt>
                <c:pt idx="26">
                  <c:v>26.576474958153991</c:v>
                </c:pt>
                <c:pt idx="27">
                  <c:v>27.108004457317072</c:v>
                </c:pt>
                <c:pt idx="28">
                  <c:v>27.650164546463412</c:v>
                </c:pt>
                <c:pt idx="29">
                  <c:v>28.20316783739268</c:v>
                </c:pt>
              </c:numCache>
            </c:numRef>
          </c:val>
          <c:smooth val="0"/>
          <c:extLst>
            <c:ext xmlns:c16="http://schemas.microsoft.com/office/drawing/2014/chart" uri="{C3380CC4-5D6E-409C-BE32-E72D297353CC}">
              <c16:uniqueId val="{00000000-2C0C-EF46-B8EF-101B93481C71}"/>
            </c:ext>
          </c:extLst>
        </c:ser>
        <c:ser>
          <c:idx val="1"/>
          <c:order val="1"/>
          <c:tx>
            <c:strRef>
              <c:f>'DETAILED MODELLER - PERSON 1'!$E$63</c:f>
              <c:strCache>
                <c:ptCount val="1"/>
                <c:pt idx="0">
                  <c:v>CURRENT PENSION </c:v>
                </c:pt>
              </c:strCache>
            </c:strRef>
          </c:tx>
          <c:spPr>
            <a:ln w="34925" cap="rnd">
              <a:solidFill>
                <a:schemeClr val="bg1"/>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1'!$E$64:$E$93</c:f>
              <c:numCache>
                <c:formatCode>_(* #,##0.0_);_(* \(#,##0.0\);_(* "-"??_);_(@_)</c:formatCode>
                <c:ptCount val="30"/>
                <c:pt idx="0">
                  <c:v>15.061281464530891</c:v>
                </c:pt>
                <c:pt idx="1">
                  <c:v>15.155945811798423</c:v>
                </c:pt>
                <c:pt idx="2">
                  <c:v>15.216435492092591</c:v>
                </c:pt>
                <c:pt idx="3">
                  <c:v>15.280753078389983</c:v>
                </c:pt>
                <c:pt idx="4">
                  <c:v>15.328774972122224</c:v>
                </c:pt>
                <c:pt idx="5">
                  <c:v>15.376947781340489</c:v>
                </c:pt>
                <c:pt idx="6">
                  <c:v>15.425271980317699</c:v>
                </c:pt>
                <c:pt idx="7">
                  <c:v>15.473748044817249</c:v>
                </c:pt>
                <c:pt idx="8">
                  <c:v>15.52237645209768</c:v>
                </c:pt>
                <c:pt idx="9">
                  <c:v>15.571157680917393</c:v>
                </c:pt>
                <c:pt idx="10">
                  <c:v>15.620092211539346</c:v>
                </c:pt>
                <c:pt idx="11">
                  <c:v>15.669180525735793</c:v>
                </c:pt>
                <c:pt idx="12">
                  <c:v>15.718423106793027</c:v>
                </c:pt>
                <c:pt idx="13">
                  <c:v>15.767820439516131</c:v>
                </c:pt>
                <c:pt idx="14">
                  <c:v>15.817373010233755</c:v>
                </c:pt>
                <c:pt idx="15">
                  <c:v>15.867081306802911</c:v>
                </c:pt>
                <c:pt idx="16">
                  <c:v>15.916945818613764</c:v>
                </c:pt>
                <c:pt idx="17">
                  <c:v>15.966967036594456</c:v>
                </c:pt>
                <c:pt idx="18">
                  <c:v>16.017145453215946</c:v>
                </c:pt>
                <c:pt idx="19">
                  <c:v>16.067481562496837</c:v>
                </c:pt>
                <c:pt idx="20">
                  <c:v>16.117975860008269</c:v>
                </c:pt>
                <c:pt idx="21">
                  <c:v>16.168628842878775</c:v>
                </c:pt>
                <c:pt idx="22">
                  <c:v>16.219441009799187</c:v>
                </c:pt>
                <c:pt idx="23">
                  <c:v>16.270412861027541</c:v>
                </c:pt>
                <c:pt idx="24">
                  <c:v>16.321544898394006</c:v>
                </c:pt>
                <c:pt idx="25">
                  <c:v>16.372837625305813</c:v>
                </c:pt>
                <c:pt idx="26">
                  <c:v>16.424291546752237</c:v>
                </c:pt>
                <c:pt idx="27">
                  <c:v>16.475907169309536</c:v>
                </c:pt>
                <c:pt idx="28">
                  <c:v>16.527685001145962</c:v>
                </c:pt>
                <c:pt idx="29">
                  <c:v>16.579625552026755</c:v>
                </c:pt>
              </c:numCache>
            </c:numRef>
          </c:val>
          <c:smooth val="0"/>
          <c:extLst>
            <c:ext xmlns:c16="http://schemas.microsoft.com/office/drawing/2014/chart" uri="{C3380CC4-5D6E-409C-BE32-E72D297353CC}">
              <c16:uniqueId val="{00000001-2C0C-EF46-B8EF-101B93481C71}"/>
            </c:ext>
          </c:extLst>
        </c:ser>
        <c:ser>
          <c:idx val="2"/>
          <c:order val="2"/>
          <c:tx>
            <c:strRef>
              <c:f>'DETAILED MODELLER - PERSON 1'!$F$63</c:f>
              <c:strCache>
                <c:ptCount val="1"/>
                <c:pt idx="0">
                  <c:v>TOTAL INCOME SHORTFALL </c:v>
                </c:pt>
              </c:strCache>
            </c:strRef>
          </c:tx>
          <c:spPr>
            <a:ln w="34925" cap="rnd">
              <a:solidFill>
                <a:srgbClr val="C00000"/>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1'!$F$64:$F$93</c:f>
              <c:numCache>
                <c:formatCode>#,##0.0</c:formatCode>
                <c:ptCount val="30"/>
                <c:pt idx="0">
                  <c:v>-0.32871853546910823</c:v>
                </c:pt>
                <c:pt idx="1">
                  <c:v>-1.1783727236706854</c:v>
                </c:pt>
                <c:pt idx="2">
                  <c:v>-2.3740794715780957</c:v>
                </c:pt>
                <c:pt idx="3">
                  <c:v>-3.946955259444112</c:v>
                </c:pt>
                <c:pt idx="4">
                  <c:v>-5.8088817309030087</c:v>
                </c:pt>
                <c:pt idx="5">
                  <c:v>-7.9664494220152662</c:v>
                </c:pt>
                <c:pt idx="6">
                  <c:v>-10.426383223599368</c:v>
                </c:pt>
                <c:pt idx="7">
                  <c:v>-13.195545076321958</c:v>
                </c:pt>
                <c:pt idx="8">
                  <c:v>-16.280936719714912</c:v>
                </c:pt>
                <c:pt idx="9">
                  <c:v>-19.68970249619797</c:v>
                </c:pt>
                <c:pt idx="10">
                  <c:v>-23.429132211207076</c:v>
                </c:pt>
                <c:pt idx="11">
                  <c:v>-27.506664050550711</c:v>
                </c:pt>
                <c:pt idx="12">
                  <c:v>-31.929887556138695</c:v>
                </c:pt>
                <c:pt idx="13">
                  <c:v>-36.706546661251195</c:v>
                </c:pt>
                <c:pt idx="14">
                  <c:v>-41.844542786538646</c:v>
                </c:pt>
                <c:pt idx="15">
                  <c:v>-47.351937997967362</c:v>
                </c:pt>
                <c:pt idx="16">
                  <c:v>-53.236958227949856</c:v>
                </c:pt>
                <c:pt idx="17">
                  <c:v>-59.507996560923587</c:v>
                </c:pt>
                <c:pt idx="18">
                  <c:v>-66.173616584667201</c:v>
                </c:pt>
                <c:pt idx="19">
                  <c:v>-73.242555808669096</c:v>
                </c:pt>
                <c:pt idx="20">
                  <c:v>-80.723729150889554</c:v>
                </c:pt>
                <c:pt idx="21">
                  <c:v>-88.626232494284082</c:v>
                </c:pt>
                <c:pt idx="22">
                  <c:v>-96.959346314483653</c:v>
                </c:pt>
                <c:pt idx="23">
                  <c:v>-105.73253938005485</c:v>
                </c:pt>
                <c:pt idx="24">
                  <c:v>-114.95547252679155</c:v>
                </c:pt>
                <c:pt idx="25">
                  <c:v>-124.63800250751906</c:v>
                </c:pt>
                <c:pt idx="26">
                  <c:v>-134.79018591892083</c:v>
                </c:pt>
                <c:pt idx="27">
                  <c:v>-145.42228320692834</c:v>
                </c:pt>
                <c:pt idx="28">
                  <c:v>-156.54476275224579</c:v>
                </c:pt>
                <c:pt idx="29">
                  <c:v>-168.16830503761173</c:v>
                </c:pt>
              </c:numCache>
            </c:numRef>
          </c:val>
          <c:smooth val="0"/>
          <c:extLst>
            <c:ext xmlns:c16="http://schemas.microsoft.com/office/drawing/2014/chart" uri="{C3380CC4-5D6E-409C-BE32-E72D297353CC}">
              <c16:uniqueId val="{00000002-2C0C-EF46-B8EF-101B93481C71}"/>
            </c:ext>
          </c:extLst>
        </c:ser>
        <c:ser>
          <c:idx val="3"/>
          <c:order val="3"/>
          <c:tx>
            <c:strRef>
              <c:f>'DETAILED MODELLER - PERSON 1'!$G$63</c:f>
              <c:strCache>
                <c:ptCount val="1"/>
                <c:pt idx="0">
                  <c:v>AD-HOC STRATEGY - SHORTFALL</c:v>
                </c:pt>
              </c:strCache>
            </c:strRef>
          </c:tx>
          <c:spPr>
            <a:ln w="34925" cap="rnd">
              <a:solidFill>
                <a:schemeClr val="accent4"/>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1'!$G$64:$G$93</c:f>
              <c:numCache>
                <c:formatCode>#,##0.0</c:formatCode>
                <c:ptCount val="30"/>
                <c:pt idx="0">
                  <c:v>-0.32871853546910823</c:v>
                </c:pt>
                <c:pt idx="1">
                  <c:v>-1.1783727236706854</c:v>
                </c:pt>
                <c:pt idx="2">
                  <c:v>-2.394046938859665</c:v>
                </c:pt>
                <c:pt idx="3">
                  <c:v>-4.0081777813712307</c:v>
                </c:pt>
                <c:pt idx="4">
                  <c:v>-5.7909446441033738</c:v>
                </c:pt>
                <c:pt idx="5">
                  <c:v>-7.8850877786948272</c:v>
                </c:pt>
                <c:pt idx="6">
                  <c:v>-10.297415175708259</c:v>
                </c:pt>
                <c:pt idx="7">
                  <c:v>-13.034872207549437</c:v>
                </c:pt>
                <c:pt idx="8">
                  <c:v>-16.104544378676781</c:v>
                </c:pt>
                <c:pt idx="9">
                  <c:v>-19.513660130820544</c:v>
                </c:pt>
                <c:pt idx="10">
                  <c:v>-23.269593704311774</c:v>
                </c:pt>
                <c:pt idx="11">
                  <c:v>-27.379868056643325</c:v>
                </c:pt>
                <c:pt idx="12">
                  <c:v>-31.852157839407521</c:v>
                </c:pt>
                <c:pt idx="13">
                  <c:v>-36.694292434778042</c:v>
                </c:pt>
                <c:pt idx="14">
                  <c:v>-41.914259052726905</c:v>
                </c:pt>
                <c:pt idx="15">
                  <c:v>-47.520205890191306</c:v>
                </c:pt>
                <c:pt idx="16">
                  <c:v>-53.379358508917115</c:v>
                </c:pt>
                <c:pt idx="17">
                  <c:v>-59.640986630867758</c:v>
                </c:pt>
                <c:pt idx="18">
                  <c:v>-66.313740381793735</c:v>
                </c:pt>
                <c:pt idx="19">
                  <c:v>-73.406444154414615</c:v>
                </c:pt>
                <c:pt idx="20">
                  <c:v>-80.928100096420451</c:v>
                </c:pt>
                <c:pt idx="21">
                  <c:v>-88.887891668238836</c:v>
                </c:pt>
                <c:pt idx="22">
                  <c:v>-97.295187271962774</c:v>
                </c:pt>
                <c:pt idx="23">
                  <c:v>-106.15954395286295</c:v>
                </c:pt>
                <c:pt idx="24">
                  <c:v>-115.49071117493574</c:v>
                </c:pt>
                <c:pt idx="25">
                  <c:v>-125.29863467196787</c:v>
                </c:pt>
                <c:pt idx="26">
                  <c:v>-135.59346037562801</c:v>
                </c:pt>
                <c:pt idx="27">
                  <c:v>-146.38553842212599</c:v>
                </c:pt>
                <c:pt idx="28">
                  <c:v>-157.68542723901072</c:v>
                </c:pt>
                <c:pt idx="29">
                  <c:v>-169.35760577297145</c:v>
                </c:pt>
              </c:numCache>
            </c:numRef>
          </c:val>
          <c:smooth val="0"/>
          <c:extLst>
            <c:ext xmlns:c16="http://schemas.microsoft.com/office/drawing/2014/chart" uri="{C3380CC4-5D6E-409C-BE32-E72D297353CC}">
              <c16:uniqueId val="{00000003-2C0C-EF46-B8EF-101B93481C71}"/>
            </c:ext>
          </c:extLst>
        </c:ser>
        <c:ser>
          <c:idx val="4"/>
          <c:order val="4"/>
          <c:tx>
            <c:strRef>
              <c:f>'DETAILED MODELLER - PERSON 1'!$H$63</c:f>
              <c:strCache>
                <c:ptCount val="1"/>
                <c:pt idx="0">
                  <c:v>ETHICAL 1 - SHORTFALL</c:v>
                </c:pt>
              </c:strCache>
            </c:strRef>
          </c:tx>
          <c:spPr>
            <a:ln w="34925" cap="rnd">
              <a:solidFill>
                <a:schemeClr val="accent5"/>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1'!$H$64:$H$93</c:f>
              <c:numCache>
                <c:formatCode>#,##0.0</c:formatCode>
                <c:ptCount val="30"/>
                <c:pt idx="0">
                  <c:v>-0.32871853546910823</c:v>
                </c:pt>
                <c:pt idx="1">
                  <c:v>-1.1783727236706854</c:v>
                </c:pt>
                <c:pt idx="2">
                  <c:v>-2.394046938859665</c:v>
                </c:pt>
                <c:pt idx="3">
                  <c:v>-4.0081777813712307</c:v>
                </c:pt>
                <c:pt idx="4">
                  <c:v>-5.9114889572278821</c:v>
                </c:pt>
                <c:pt idx="5">
                  <c:v>-8.1264301824451604</c:v>
                </c:pt>
                <c:pt idx="6">
                  <c:v>-10.643917822451987</c:v>
                </c:pt>
                <c:pt idx="7">
                  <c:v>-13.48675648727181</c:v>
                </c:pt>
                <c:pt idx="8">
                  <c:v>-16.646056482400322</c:v>
                </c:pt>
                <c:pt idx="9">
                  <c:v>-20.144988748701042</c:v>
                </c:pt>
                <c:pt idx="10">
                  <c:v>-23.974868314273849</c:v>
                </c:pt>
                <c:pt idx="11">
                  <c:v>-28.159244334459778</c:v>
                </c:pt>
                <c:pt idx="12">
                  <c:v>-32.689647793601793</c:v>
                </c:pt>
                <c:pt idx="13">
                  <c:v>-37.590018409931972</c:v>
                </c:pt>
                <c:pt idx="14">
                  <c:v>-42.85211482708258</c:v>
                </c:pt>
                <c:pt idx="15">
                  <c:v>-48.500280158062829</c:v>
                </c:pt>
                <c:pt idx="16">
                  <c:v>-54.526512897293692</c:v>
                </c:pt>
                <c:pt idx="17">
                  <c:v>-60.955572887371503</c:v>
                </c:pt>
                <c:pt idx="18">
                  <c:v>-67.779711173274322</c:v>
                </c:pt>
                <c:pt idx="19">
                  <c:v>-75.024118185156198</c:v>
                </c:pt>
                <c:pt idx="20">
                  <c:v>-82.681310747206339</c:v>
                </c:pt>
                <c:pt idx="21">
                  <c:v>-90.776924279321733</c:v>
                </c:pt>
                <c:pt idx="22">
                  <c:v>-99.303755163892461</c:v>
                </c:pt>
                <c:pt idx="23">
                  <c:v>-108.28789877886226</c:v>
                </c:pt>
                <c:pt idx="24">
                  <c:v>-117.72244541646479</c:v>
                </c:pt>
                <c:pt idx="25">
                  <c:v>-127.63396596990145</c:v>
                </c:pt>
                <c:pt idx="26">
                  <c:v>-138.01585958876413</c:v>
                </c:pt>
                <c:pt idx="27">
                  <c:v>-148.89518885133876</c:v>
                </c:pt>
                <c:pt idx="28">
                  <c:v>-160.26567733211974</c:v>
                </c:pt>
                <c:pt idx="29">
                  <c:v>-172.15489610158642</c:v>
                </c:pt>
              </c:numCache>
            </c:numRef>
          </c:val>
          <c:smooth val="0"/>
          <c:extLst>
            <c:ext xmlns:c16="http://schemas.microsoft.com/office/drawing/2014/chart" uri="{C3380CC4-5D6E-409C-BE32-E72D297353CC}">
              <c16:uniqueId val="{00000004-2C0C-EF46-B8EF-101B93481C71}"/>
            </c:ext>
          </c:extLst>
        </c:ser>
        <c:ser>
          <c:idx val="5"/>
          <c:order val="5"/>
          <c:tx>
            <c:strRef>
              <c:f>'DETAILED MODELLER - PERSON 1'!$I$63</c:f>
              <c:strCache>
                <c:ptCount val="1"/>
                <c:pt idx="0">
                  <c:v>ETHICAL 2- SHORTFALL</c:v>
                </c:pt>
              </c:strCache>
            </c:strRef>
          </c:tx>
          <c:spPr>
            <a:ln w="34925" cap="rnd">
              <a:solidFill>
                <a:schemeClr val="accent6"/>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1'!$I$64:$I$93</c:f>
              <c:numCache>
                <c:formatCode>#,##0.0</c:formatCode>
                <c:ptCount val="30"/>
                <c:pt idx="0">
                  <c:v>-0.32871853546910823</c:v>
                </c:pt>
                <c:pt idx="1">
                  <c:v>-1.1783727236706854</c:v>
                </c:pt>
                <c:pt idx="2">
                  <c:v>-2.394046938859665</c:v>
                </c:pt>
                <c:pt idx="3">
                  <c:v>-4.0081777813712307</c:v>
                </c:pt>
                <c:pt idx="4">
                  <c:v>-5.9193935023508004</c:v>
                </c:pt>
                <c:pt idx="5">
                  <c:v>-8.1343306275751814</c:v>
                </c:pt>
                <c:pt idx="6">
                  <c:v>-10.659760236532016</c:v>
                </c:pt>
                <c:pt idx="7">
                  <c:v>-13.50259065827797</c:v>
                </c:pt>
                <c:pt idx="8">
                  <c:v>-16.669870221226642</c:v>
                </c:pt>
                <c:pt idx="9">
                  <c:v>-20.168790057944822</c:v>
                </c:pt>
                <c:pt idx="10">
                  <c:v>-24.00668696605727</c:v>
                </c:pt>
                <c:pt idx="11">
                  <c:v>-28.191046326382288</c:v>
                </c:pt>
                <c:pt idx="12">
                  <c:v>-32.729505079442653</c:v>
                </c:pt>
                <c:pt idx="13">
                  <c:v>-37.629854761519461</c:v>
                </c:pt>
                <c:pt idx="14">
                  <c:v>-42.900044601439895</c:v>
                </c:pt>
                <c:pt idx="15">
                  <c:v>-48.548184679313408</c:v>
                </c:pt>
                <c:pt idx="16">
                  <c:v>-54.582549148455584</c:v>
                </c:pt>
                <c:pt idx="17">
                  <c:v>-61.011579521763181</c:v>
                </c:pt>
                <c:pt idx="18">
                  <c:v>-67.843888023829692</c:v>
                </c:pt>
                <c:pt idx="19">
                  <c:v>-75.088261010116085</c:v>
                </c:pt>
                <c:pt idx="20">
                  <c:v>-82.753662454517851</c:v>
                </c:pt>
                <c:pt idx="21">
                  <c:v>-90.849237506696511</c:v>
                </c:pt>
                <c:pt idx="22">
                  <c:v>-99.384316120570688</c:v>
                </c:pt>
                <c:pt idx="23">
                  <c:v>-108.36841675539</c:v>
                </c:pt>
                <c:pt idx="24">
                  <c:v>-117.81125015084373</c:v>
                </c:pt>
                <c:pt idx="25">
                  <c:v>-127.7227231776845</c:v>
                </c:pt>
                <c:pt idx="26">
                  <c:v>-138.11294276537791</c:v>
                </c:pt>
                <c:pt idx="27">
                  <c:v>-148.99221990831799</c:v>
                </c:pt>
                <c:pt idx="28">
                  <c:v>-160.37107375218056</c:v>
                </c:pt>
                <c:pt idx="29">
                  <c:v>-172.26023576201669</c:v>
                </c:pt>
              </c:numCache>
            </c:numRef>
          </c:val>
          <c:smooth val="0"/>
          <c:extLst>
            <c:ext xmlns:c16="http://schemas.microsoft.com/office/drawing/2014/chart" uri="{C3380CC4-5D6E-409C-BE32-E72D297353CC}">
              <c16:uniqueId val="{00000005-2C0C-EF46-B8EF-101B93481C71}"/>
            </c:ext>
          </c:extLst>
        </c:ser>
        <c:ser>
          <c:idx val="6"/>
          <c:order val="6"/>
          <c:tx>
            <c:strRef>
              <c:f>'DETAILED MODELLER - PERSON 1'!$J$63</c:f>
              <c:strCache>
                <c:ptCount val="1"/>
                <c:pt idx="0">
                  <c:v>ETHICAL 3 SHORTFALL</c:v>
                </c:pt>
              </c:strCache>
            </c:strRef>
          </c:tx>
          <c:spPr>
            <a:ln w="34925" cap="rnd">
              <a:solidFill>
                <a:schemeClr val="accent1">
                  <a:lumMod val="60000"/>
                </a:schemeClr>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1'!$J$64:$J$93</c:f>
              <c:numCache>
                <c:formatCode>#,##0.0</c:formatCode>
                <c:ptCount val="30"/>
                <c:pt idx="0">
                  <c:v>-0.32871853546910823</c:v>
                </c:pt>
                <c:pt idx="1">
                  <c:v>-1.1783727236706854</c:v>
                </c:pt>
                <c:pt idx="2">
                  <c:v>-2.394046938859665</c:v>
                </c:pt>
                <c:pt idx="3">
                  <c:v>-4.0081777813712307</c:v>
                </c:pt>
                <c:pt idx="4">
                  <c:v>-5.9193935023508004</c:v>
                </c:pt>
                <c:pt idx="5">
                  <c:v>-8.1343306275751814</c:v>
                </c:pt>
                <c:pt idx="6">
                  <c:v>-10.651814154704317</c:v>
                </c:pt>
                <c:pt idx="7">
                  <c:v>-13.486677644491763</c:v>
                </c:pt>
                <c:pt idx="8">
                  <c:v>-16.645969370641396</c:v>
                </c:pt>
                <c:pt idx="9">
                  <c:v>-20.128867471178584</c:v>
                </c:pt>
                <c:pt idx="10">
                  <c:v>-23.950700602856447</c:v>
                </c:pt>
                <c:pt idx="11">
                  <c:v>-28.118954036181712</c:v>
                </c:pt>
                <c:pt idx="12">
                  <c:v>-32.633184240989479</c:v>
                </c:pt>
                <c:pt idx="13">
                  <c:v>-37.509241800285864</c:v>
                </c:pt>
                <c:pt idx="14">
                  <c:v>-42.755075776081576</c:v>
                </c:pt>
                <c:pt idx="15">
                  <c:v>-48.370647733475536</c:v>
                </c:pt>
                <c:pt idx="16">
                  <c:v>-54.372358624979903</c:v>
                </c:pt>
                <c:pt idx="17">
                  <c:v>-60.768649739256048</c:v>
                </c:pt>
                <c:pt idx="18">
                  <c:v>-67.559916168603351</c:v>
                </c:pt>
                <c:pt idx="19">
                  <c:v>-74.763139389775276</c:v>
                </c:pt>
                <c:pt idx="20">
                  <c:v>-82.387283094087763</c:v>
                </c:pt>
                <c:pt idx="21">
                  <c:v>-90.433206103839623</c:v>
                </c:pt>
                <c:pt idx="22">
                  <c:v>-98.918502390751556</c:v>
                </c:pt>
                <c:pt idx="23">
                  <c:v>-107.85269007221295</c:v>
                </c:pt>
                <c:pt idx="24">
                  <c:v>-117.23712378283183</c:v>
                </c:pt>
                <c:pt idx="25">
                  <c:v>-127.09004388691569</c:v>
                </c:pt>
                <c:pt idx="26">
                  <c:v>-137.42155691184126</c:v>
                </c:pt>
                <c:pt idx="27">
                  <c:v>-148.23354738164701</c:v>
                </c:pt>
                <c:pt idx="28">
                  <c:v>-159.54493799542973</c:v>
                </c:pt>
                <c:pt idx="29">
                  <c:v>-171.36645975496367</c:v>
                </c:pt>
              </c:numCache>
            </c:numRef>
          </c:val>
          <c:smooth val="0"/>
          <c:extLst>
            <c:ext xmlns:c16="http://schemas.microsoft.com/office/drawing/2014/chart" uri="{C3380CC4-5D6E-409C-BE32-E72D297353CC}">
              <c16:uniqueId val="{00000006-2C0C-EF46-B8EF-101B93481C71}"/>
            </c:ext>
          </c:extLst>
        </c:ser>
        <c:ser>
          <c:idx val="7"/>
          <c:order val="7"/>
          <c:tx>
            <c:strRef>
              <c:f>'DETAILED MODELLER - PERSON 1'!$K$63</c:f>
              <c:strCache>
                <c:ptCount val="1"/>
                <c:pt idx="0">
                  <c:v>ETHICAL 4 - SHORTFALL</c:v>
                </c:pt>
              </c:strCache>
            </c:strRef>
          </c:tx>
          <c:spPr>
            <a:ln w="34925" cap="rnd">
              <a:solidFill>
                <a:schemeClr val="accent2">
                  <a:lumMod val="60000"/>
                </a:schemeClr>
              </a:solidFill>
              <a:round/>
            </a:ln>
            <a:effectLst>
              <a:outerShdw blurRad="57150" dist="19050" dir="5400000" algn="ctr" rotWithShape="0">
                <a:srgbClr val="000000">
                  <a:alpha val="63000"/>
                </a:srgbClr>
              </a:outerShdw>
            </a:effectLst>
          </c:spPr>
          <c:marker>
            <c:symbol val="none"/>
          </c:marker>
          <c:cat>
            <c:numRef>
              <c:f>'DETAILED MODELLER - PERSON 1'!$C$64:$C$93</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1'!$K$64:$K$93</c:f>
              <c:numCache>
                <c:formatCode>#,##0.0</c:formatCode>
                <c:ptCount val="30"/>
                <c:pt idx="0">
                  <c:v>-0.32871853546910823</c:v>
                </c:pt>
                <c:pt idx="1">
                  <c:v>-1.1783727236706854</c:v>
                </c:pt>
                <c:pt idx="2">
                  <c:v>-2.394046938859665</c:v>
                </c:pt>
                <c:pt idx="3">
                  <c:v>-4.0081777813712307</c:v>
                </c:pt>
                <c:pt idx="4">
                  <c:v>-5.9114889572278821</c:v>
                </c:pt>
                <c:pt idx="5">
                  <c:v>-8.1105714099324935</c:v>
                </c:pt>
                <c:pt idx="6">
                  <c:v>-10.612150439026388</c:v>
                </c:pt>
                <c:pt idx="7">
                  <c:v>-13.423088395183516</c:v>
                </c:pt>
                <c:pt idx="8">
                  <c:v>-16.550387429231566</c:v>
                </c:pt>
                <c:pt idx="9">
                  <c:v>-20.005207063135845</c:v>
                </c:pt>
                <c:pt idx="10">
                  <c:v>-23.794861708939603</c:v>
                </c:pt>
                <c:pt idx="11">
                  <c:v>-27.926814269764634</c:v>
                </c:pt>
                <c:pt idx="12">
                  <c:v>-32.408679115984249</c:v>
                </c:pt>
                <c:pt idx="13">
                  <c:v>-37.248225120938066</c:v>
                </c:pt>
                <c:pt idx="14">
                  <c:v>-42.45337875737944</c:v>
                </c:pt>
                <c:pt idx="15">
                  <c:v>-48.036311979950895</c:v>
                </c:pt>
                <c:pt idx="16">
                  <c:v>-54.005298494185929</c:v>
                </c:pt>
                <c:pt idx="17">
                  <c:v>-60.368779364024327</c:v>
                </c:pt>
                <c:pt idx="18">
                  <c:v>-67.135366363924504</c:v>
                </c:pt>
                <c:pt idx="19">
                  <c:v>-74.313845398031248</c:v>
                </c:pt>
                <c:pt idx="20">
                  <c:v>-81.913179987739639</c:v>
                </c:pt>
                <c:pt idx="21">
                  <c:v>-89.942514829023452</c:v>
                </c:pt>
                <c:pt idx="22">
                  <c:v>-98.411179420923062</c:v>
                </c:pt>
                <c:pt idx="23">
                  <c:v>-107.32869176661634</c:v>
                </c:pt>
                <c:pt idx="24">
                  <c:v>-116.70476214852405</c:v>
                </c:pt>
                <c:pt idx="25">
                  <c:v>-126.54929697893049</c:v>
                </c:pt>
                <c:pt idx="26">
                  <c:v>-136.87240272762986</c:v>
                </c:pt>
                <c:pt idx="27">
                  <c:v>-147.68438992813876</c:v>
                </c:pt>
                <c:pt idx="28">
                  <c:v>-158.99577726404615</c:v>
                </c:pt>
                <c:pt idx="29">
                  <c:v>-170.82153310114009</c:v>
                </c:pt>
              </c:numCache>
            </c:numRef>
          </c:val>
          <c:smooth val="0"/>
          <c:extLst>
            <c:ext xmlns:c16="http://schemas.microsoft.com/office/drawing/2014/chart" uri="{C3380CC4-5D6E-409C-BE32-E72D297353CC}">
              <c16:uniqueId val="{00000000-7B9F-164F-9C22-D7C768E7F29E}"/>
            </c:ext>
          </c:extLst>
        </c:ser>
        <c:dLbls>
          <c:showLegendKey val="0"/>
          <c:showVal val="0"/>
          <c:showCatName val="0"/>
          <c:showSerName val="0"/>
          <c:showPercent val="0"/>
          <c:showBubbleSize val="0"/>
        </c:dLbls>
        <c:smooth val="0"/>
        <c:axId val="273423983"/>
        <c:axId val="225143615"/>
      </c:lineChart>
      <c:catAx>
        <c:axId val="27342398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25143615"/>
        <c:crosses val="autoZero"/>
        <c:auto val="1"/>
        <c:lblAlgn val="ctr"/>
        <c:lblOffset val="100"/>
        <c:noMultiLvlLbl val="0"/>
      </c:catAx>
      <c:valAx>
        <c:axId val="225143615"/>
        <c:scaling>
          <c:orientation val="minMax"/>
        </c:scaling>
        <c:delete val="0"/>
        <c:axPos val="l"/>
        <c:majorGridlines>
          <c:spPr>
            <a:ln w="9525" cap="flat" cmpd="sng" algn="ctr">
              <a:solidFill>
                <a:schemeClr val="lt1">
                  <a:lumMod val="95000"/>
                  <a:alpha val="10000"/>
                </a:schemeClr>
              </a:solidFill>
              <a:round/>
            </a:ln>
            <a:effectLst/>
          </c:spPr>
        </c:majorGridlines>
        <c:title>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73423983"/>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THIRTY YEAR VIEW FROM DATE OF RETIREMENT - </a:t>
            </a:r>
            <a:r>
              <a:rPr lang="en-US">
                <a:solidFill>
                  <a:srgbClr val="FFFF00"/>
                </a:solidFill>
              </a:rPr>
              <a:t>PERSON 1</a:t>
            </a:r>
          </a:p>
          <a:p>
            <a:pPr>
              <a:defRPr/>
            </a:pPr>
            <a:r>
              <a:rPr lang="en-US"/>
              <a:t>VALUE OF</a:t>
            </a:r>
            <a:r>
              <a:rPr lang="en-US" baseline="0"/>
              <a:t> </a:t>
            </a:r>
            <a:r>
              <a:rPr lang="en-US"/>
              <a:t>PENSION &amp; IT'S BUYING POWER CONTRASTED WITH A PENSION THAT RISES </a:t>
            </a:r>
            <a:r>
              <a:rPr lang="en-US" baseline="0"/>
              <a:t> WITH INFLATION</a:t>
            </a:r>
            <a:endParaRPr lang="en-US"/>
          </a:p>
          <a:p>
            <a:pPr>
              <a:defRPr/>
            </a:pPr>
            <a:r>
              <a:rPr lang="en-US"/>
              <a:t> AND THE POSITIVE</a:t>
            </a:r>
            <a:r>
              <a:rPr lang="en-US" baseline="0"/>
              <a:t> </a:t>
            </a:r>
            <a:r>
              <a:rPr lang="en-US"/>
              <a:t>IMPACT OF ALTERNATIVE</a:t>
            </a:r>
            <a:r>
              <a:rPr lang="en-US" baseline="0"/>
              <a:t> STRATEGIES FOR DISCRETIONARY INCREASES OVER LIFETIME</a:t>
            </a:r>
            <a:endParaRPr lang="en-US"/>
          </a:p>
          <a:p>
            <a:pPr>
              <a:defRPr/>
            </a:pPr>
            <a:endParaRPr lang="en-US"/>
          </a:p>
        </c:rich>
      </c:tx>
      <c:layout>
        <c:manualLayout>
          <c:xMode val="edge"/>
          <c:yMode val="edge"/>
          <c:x val="0.13791981312103796"/>
          <c:y val="2.0776237680809939E-2"/>
        </c:manualLayout>
      </c:layout>
      <c:overlay val="0"/>
      <c:spPr>
        <a:noFill/>
        <a:ln>
          <a:solidFill>
            <a:schemeClr val="bg1"/>
          </a:solid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9.9459235018240402E-2"/>
          <c:y val="2.1158645550292489E-2"/>
          <c:w val="0.85730831148801334"/>
          <c:h val="0.82071429337634483"/>
        </c:manualLayout>
      </c:layout>
      <c:lineChart>
        <c:grouping val="standard"/>
        <c:varyColors val="0"/>
        <c:ser>
          <c:idx val="0"/>
          <c:order val="0"/>
          <c:tx>
            <c:strRef>
              <c:f>'DETAILED MODELLER - PERSON 1'!$D$97</c:f>
              <c:strCache>
                <c:ptCount val="1"/>
                <c:pt idx="0">
                  <c:v>PENSION BUYING POWER</c:v>
                </c:pt>
              </c:strCache>
            </c:strRef>
          </c:tx>
          <c:spPr>
            <a:ln w="41275" cap="rnd">
              <a:solidFill>
                <a:srgbClr val="FF0000"/>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1'!$D$98:$D$127</c:f>
              <c:numCache>
                <c:formatCode>"£"#,##0</c:formatCode>
                <c:ptCount val="30"/>
                <c:pt idx="0">
                  <c:v>14732.562929061784</c:v>
                </c:pt>
                <c:pt idx="1">
                  <c:v>14306.291623596846</c:v>
                </c:pt>
                <c:pt idx="2">
                  <c:v>14020.72874418518</c:v>
                </c:pt>
                <c:pt idx="3">
                  <c:v>13707.877290523968</c:v>
                </c:pt>
                <c:pt idx="4">
                  <c:v>13466.848500663327</c:v>
                </c:pt>
                <c:pt idx="5">
                  <c:v>13219.380090228231</c:v>
                </c:pt>
                <c:pt idx="6">
                  <c:v>12965.338178733597</c:v>
                </c:pt>
                <c:pt idx="7">
                  <c:v>12704.586192094659</c:v>
                </c:pt>
                <c:pt idx="8">
                  <c:v>12436.984808704725</c:v>
                </c:pt>
                <c:pt idx="9">
                  <c:v>12162.391904434338</c:v>
                </c:pt>
                <c:pt idx="10">
                  <c:v>11880.662496530236</c:v>
                </c:pt>
                <c:pt idx="11">
                  <c:v>11591.648686392164</c:v>
                </c:pt>
                <c:pt idx="12">
                  <c:v>11295.19960120504</c:v>
                </c:pt>
                <c:pt idx="13">
                  <c:v>10991.161334403627</c:v>
                </c:pt>
                <c:pt idx="14">
                  <c:v>10679.376884946305</c:v>
                </c:pt>
                <c:pt idx="15">
                  <c:v>10359.686095374193</c:v>
                </c:pt>
                <c:pt idx="16">
                  <c:v>10031.925588631264</c:v>
                </c:pt>
                <c:pt idx="17">
                  <c:v>9695.9287036207243</c:v>
                </c:pt>
                <c:pt idx="18">
                  <c:v>9351.5254294723345</c:v>
                </c:pt>
                <c:pt idx="19">
                  <c:v>8998.5423384949281</c:v>
                </c:pt>
                <c:pt idx="20">
                  <c:v>8636.8025177878153</c:v>
                </c:pt>
                <c:pt idx="21">
                  <c:v>8266.1254994842529</c:v>
                </c:pt>
                <c:pt idx="22">
                  <c:v>7886.3271895996113</c:v>
                </c:pt>
                <c:pt idx="23">
                  <c:v>7497.2197954563453</c:v>
                </c:pt>
                <c:pt idx="24">
                  <c:v>7098.6117516572995</c:v>
                </c:pt>
                <c:pt idx="25">
                  <c:v>6690.3076445783045</c:v>
                </c:pt>
                <c:pt idx="26">
                  <c:v>6272.1081353504815</c:v>
                </c:pt>
                <c:pt idx="27">
                  <c:v>5843.8098813020006</c:v>
                </c:pt>
                <c:pt idx="28">
                  <c:v>5405.205455828509</c:v>
                </c:pt>
                <c:pt idx="29">
                  <c:v>4956.0832666608294</c:v>
                </c:pt>
              </c:numCache>
            </c:numRef>
          </c:val>
          <c:smooth val="0"/>
          <c:extLst>
            <c:ext xmlns:c16="http://schemas.microsoft.com/office/drawing/2014/chart" uri="{C3380CC4-5D6E-409C-BE32-E72D297353CC}">
              <c16:uniqueId val="{00000000-46BC-A049-B35B-192C7EC61B72}"/>
            </c:ext>
          </c:extLst>
        </c:ser>
        <c:ser>
          <c:idx val="1"/>
          <c:order val="1"/>
          <c:tx>
            <c:strRef>
              <c:f>'DETAILED MODELLER - PERSON 1'!$E$97</c:f>
              <c:strCache>
                <c:ptCount val="1"/>
                <c:pt idx="0">
                  <c:v>AD-HOC STRATEGY</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1'!$E$98:$E$127</c:f>
              <c:numCache>
                <c:formatCode>"£"#,##0</c:formatCode>
                <c:ptCount val="30"/>
                <c:pt idx="1">
                  <c:v>14306.291623596846</c:v>
                </c:pt>
                <c:pt idx="2">
                  <c:v>13980.793809622042</c:v>
                </c:pt>
                <c:pt idx="3">
                  <c:v>13625.367181232868</c:v>
                </c:pt>
                <c:pt idx="4">
                  <c:v>13625.167718116834</c:v>
                </c:pt>
                <c:pt idx="5">
                  <c:v>13346.229203269839</c:v>
                </c:pt>
                <c:pt idx="6">
                  <c:v>13060.550987874936</c:v>
                </c:pt>
                <c:pt idx="7">
                  <c:v>12767.995833857483</c:v>
                </c:pt>
                <c:pt idx="8">
                  <c:v>12468.423753235944</c:v>
                </c:pt>
                <c:pt idx="9">
                  <c:v>12161.691953112924</c:v>
                </c:pt>
                <c:pt idx="10">
                  <c:v>11847.654779565997</c:v>
                </c:pt>
                <c:pt idx="11">
                  <c:v>11526.163660416321</c:v>
                </c:pt>
                <c:pt idx="12">
                  <c:v>11197.067046852619</c:v>
                </c:pt>
                <c:pt idx="13">
                  <c:v>10860.210353887596</c:v>
                </c:pt>
                <c:pt idx="14">
                  <c:v>10515.435899623477</c:v>
                </c:pt>
                <c:pt idx="15">
                  <c:v>10162.582843302833</c:v>
                </c:pt>
                <c:pt idx="16">
                  <c:v>10083.660811144633</c:v>
                </c:pt>
                <c:pt idx="17">
                  <c:v>9714.7491256668982</c:v>
                </c:pt>
                <c:pt idx="18">
                  <c:v>9337.2579751076082</c:v>
                </c:pt>
                <c:pt idx="19">
                  <c:v>8951.0132412569801</c:v>
                </c:pt>
                <c:pt idx="20">
                  <c:v>8555.8373182170144</c:v>
                </c:pt>
                <c:pt idx="21">
                  <c:v>8151.5490426365359</c:v>
                </c:pt>
                <c:pt idx="22">
                  <c:v>7737.9636225508802</c:v>
                </c:pt>
                <c:pt idx="23">
                  <c:v>7314.8925647983779</c:v>
                </c:pt>
                <c:pt idx="24">
                  <c:v>6882.143600985135</c:v>
                </c:pt>
                <c:pt idx="25">
                  <c:v>6439.5206119690811</c:v>
                </c:pt>
                <c:pt idx="26">
                  <c:v>5986.8235508336838</c:v>
                </c:pt>
                <c:pt idx="27">
                  <c:v>5523.8483643211039</c:v>
                </c:pt>
                <c:pt idx="28">
                  <c:v>5050.3869126940008</c:v>
                </c:pt>
                <c:pt idx="29">
                  <c:v>4858.8107694712126</c:v>
                </c:pt>
              </c:numCache>
            </c:numRef>
          </c:val>
          <c:smooth val="0"/>
          <c:extLst>
            <c:ext xmlns:c16="http://schemas.microsoft.com/office/drawing/2014/chart" uri="{C3380CC4-5D6E-409C-BE32-E72D297353CC}">
              <c16:uniqueId val="{00000001-46BC-A049-B35B-192C7EC61B72}"/>
            </c:ext>
          </c:extLst>
        </c:ser>
        <c:ser>
          <c:idx val="2"/>
          <c:order val="2"/>
          <c:tx>
            <c:strRef>
              <c:f>'DETAILED MODELLER - PERSON 1'!$F$97</c:f>
              <c:strCache>
                <c:ptCount val="1"/>
                <c:pt idx="0">
                  <c:v>ETHICAL 1 - BUY POWER</c:v>
                </c:pt>
              </c:strCache>
            </c:strRef>
          </c:tx>
          <c:spPr>
            <a:ln w="34925" cap="rnd">
              <a:solidFill>
                <a:schemeClr val="accent3"/>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1'!$F$98:$F$127</c:f>
              <c:numCache>
                <c:formatCode>"£"#,##0</c:formatCode>
                <c:ptCount val="30"/>
                <c:pt idx="1">
                  <c:v>14306.291623596846</c:v>
                </c:pt>
                <c:pt idx="2">
                  <c:v>13980.793809622042</c:v>
                </c:pt>
                <c:pt idx="3">
                  <c:v>13625.367181232868</c:v>
                </c:pt>
                <c:pt idx="4">
                  <c:v>13384.079091867818</c:v>
                </c:pt>
                <c:pt idx="5">
                  <c:v>13104.633022018192</c:v>
                </c:pt>
                <c:pt idx="6">
                  <c:v>12850.230501888145</c:v>
                </c:pt>
                <c:pt idx="7">
                  <c:v>12557.232567900191</c:v>
                </c:pt>
                <c:pt idx="8">
                  <c:v>12289.168105233613</c:v>
                </c:pt>
                <c:pt idx="9">
                  <c:v>11982.05892479901</c:v>
                </c:pt>
                <c:pt idx="10">
                  <c:v>11699.762795402843</c:v>
                </c:pt>
                <c:pt idx="11">
                  <c:v>11377.960324707561</c:v>
                </c:pt>
                <c:pt idx="12">
                  <c:v>11080.839694096987</c:v>
                </c:pt>
                <c:pt idx="13">
                  <c:v>10743.738311968267</c:v>
                </c:pt>
                <c:pt idx="14">
                  <c:v>10431.176301219995</c:v>
                </c:pt>
                <c:pt idx="15">
                  <c:v>10078.145856271134</c:v>
                </c:pt>
                <c:pt idx="16">
                  <c:v>9749.5005701345326</c:v>
                </c:pt>
                <c:pt idx="17">
                  <c:v>9379.8853894125677</c:v>
                </c:pt>
                <c:pt idx="18">
                  <c:v>9034.4889051539249</c:v>
                </c:pt>
                <c:pt idx="19">
                  <c:v>8647.606762734973</c:v>
                </c:pt>
                <c:pt idx="20">
                  <c:v>8284.7640781284463</c:v>
                </c:pt>
                <c:pt idx="21">
                  <c:v>7879.9051220425172</c:v>
                </c:pt>
                <c:pt idx="22">
                  <c:v>7498.8930608572955</c:v>
                </c:pt>
                <c:pt idx="23">
                  <c:v>7075.3186966591238</c:v>
                </c:pt>
                <c:pt idx="24">
                  <c:v>6675.3847699256403</c:v>
                </c:pt>
                <c:pt idx="25">
                  <c:v>6232.3264991599863</c:v>
                </c:pt>
                <c:pt idx="26">
                  <c:v>5812.6877204286393</c:v>
                </c:pt>
                <c:pt idx="27">
                  <c:v>5349.3459321678383</c:v>
                </c:pt>
                <c:pt idx="28">
                  <c:v>4909.1875849014941</c:v>
                </c:pt>
                <c:pt idx="29">
                  <c:v>4424.7302984593116</c:v>
                </c:pt>
              </c:numCache>
            </c:numRef>
          </c:val>
          <c:smooth val="0"/>
          <c:extLst>
            <c:ext xmlns:c16="http://schemas.microsoft.com/office/drawing/2014/chart" uri="{C3380CC4-5D6E-409C-BE32-E72D297353CC}">
              <c16:uniqueId val="{00000002-46BC-A049-B35B-192C7EC61B72}"/>
            </c:ext>
          </c:extLst>
        </c:ser>
        <c:ser>
          <c:idx val="3"/>
          <c:order val="3"/>
          <c:tx>
            <c:strRef>
              <c:f>'DETAILED MODELLER - PERSON 1'!$G$97</c:f>
              <c:strCache>
                <c:ptCount val="1"/>
                <c:pt idx="0">
                  <c:v>ETHICAL 2 - BUY POWER</c:v>
                </c:pt>
              </c:strCache>
            </c:strRef>
          </c:tx>
          <c:spPr>
            <a:ln w="34925" cap="rnd">
              <a:solidFill>
                <a:schemeClr val="accent4"/>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1'!$G$98:$G$127</c:f>
              <c:numCache>
                <c:formatCode>"£"#,##0</c:formatCode>
                <c:ptCount val="30"/>
                <c:pt idx="1">
                  <c:v>14306.291623596846</c:v>
                </c:pt>
                <c:pt idx="2">
                  <c:v>13980.793809622042</c:v>
                </c:pt>
                <c:pt idx="3">
                  <c:v>13625.367181232868</c:v>
                </c:pt>
                <c:pt idx="4">
                  <c:v>13368.270001621982</c:v>
                </c:pt>
                <c:pt idx="5">
                  <c:v>13104.641222003982</c:v>
                </c:pt>
                <c:pt idx="6">
                  <c:v>12834.346563988132</c:v>
                </c:pt>
                <c:pt idx="7">
                  <c:v>12557.24905404793</c:v>
                </c:pt>
                <c:pt idx="8">
                  <c:v>12273.208969593288</c:v>
                </c:pt>
                <c:pt idx="9">
                  <c:v>11982.083783964092</c:v>
                </c:pt>
                <c:pt idx="10">
                  <c:v>11683.728110323555</c:v>
                </c:pt>
                <c:pt idx="11">
                  <c:v>11377.993644429382</c:v>
                </c:pt>
                <c:pt idx="12">
                  <c:v>11064.729106260293</c:v>
                </c:pt>
                <c:pt idx="13">
                  <c:v>10743.780180475012</c:v>
                </c:pt>
                <c:pt idx="14">
                  <c:v>10414.989455680345</c:v>
                </c:pt>
                <c:pt idx="15">
                  <c:v>10078.196362484592</c:v>
                </c:pt>
                <c:pt idx="16">
                  <c:v>9733.2371103119222</c:v>
                </c:pt>
                <c:pt idx="17">
                  <c:v>9379.9446229529967</c:v>
                </c:pt>
                <c:pt idx="18">
                  <c:v>9018.1484728265241</c:v>
                </c:pt>
                <c:pt idx="19">
                  <c:v>8647.6748139259798</c:v>
                </c:pt>
                <c:pt idx="20">
                  <c:v>8268.346313425187</c:v>
                </c:pt>
                <c:pt idx="21">
                  <c:v>7879.982081915965</c:v>
                </c:pt>
                <c:pt idx="22">
                  <c:v>7482.3976022504321</c:v>
                </c:pt>
                <c:pt idx="23">
                  <c:v>7075.4046569600978</c:v>
                </c:pt>
                <c:pt idx="24">
                  <c:v>6658.8112542232739</c:v>
                </c:pt>
                <c:pt idx="25">
                  <c:v>6232.4215523517632</c:v>
                </c:pt>
                <c:pt idx="26">
                  <c:v>5796.0357827672087</c:v>
                </c:pt>
                <c:pt idx="27">
                  <c:v>5349.4501714369035</c:v>
                </c:pt>
                <c:pt idx="28">
                  <c:v>4892.4568587382455</c:v>
                </c:pt>
                <c:pt idx="29">
                  <c:v>4424.8438177204152</c:v>
                </c:pt>
              </c:numCache>
            </c:numRef>
          </c:val>
          <c:smooth val="0"/>
          <c:extLst>
            <c:ext xmlns:c16="http://schemas.microsoft.com/office/drawing/2014/chart" uri="{C3380CC4-5D6E-409C-BE32-E72D297353CC}">
              <c16:uniqueId val="{00000003-46BC-A049-B35B-192C7EC61B72}"/>
            </c:ext>
          </c:extLst>
        </c:ser>
        <c:ser>
          <c:idx val="4"/>
          <c:order val="4"/>
          <c:tx>
            <c:strRef>
              <c:f>'DETAILED MODELLER - PERSON 1'!$H$97</c:f>
              <c:strCache>
                <c:ptCount val="1"/>
                <c:pt idx="0">
                  <c:v>ETHICAL 3 - BUY POWER</c:v>
                </c:pt>
              </c:strCache>
            </c:strRef>
          </c:tx>
          <c:spPr>
            <a:ln w="34925" cap="rnd">
              <a:solidFill>
                <a:schemeClr val="accent5"/>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1'!$H$98:$H$127</c:f>
              <c:numCache>
                <c:formatCode>"£"#,##0</c:formatCode>
                <c:ptCount val="30"/>
                <c:pt idx="1">
                  <c:v>14306.291623596846</c:v>
                </c:pt>
                <c:pt idx="2">
                  <c:v>13980.793809622042</c:v>
                </c:pt>
                <c:pt idx="3">
                  <c:v>13625.367181232868</c:v>
                </c:pt>
                <c:pt idx="4">
                  <c:v>13368.270001621982</c:v>
                </c:pt>
                <c:pt idx="5">
                  <c:v>13104.641222003982</c:v>
                </c:pt>
                <c:pt idx="6">
                  <c:v>12850.238727643533</c:v>
                </c:pt>
                <c:pt idx="7">
                  <c:v>12573.182917964943</c:v>
                </c:pt>
                <c:pt idx="8">
                  <c:v>12289.184643191365</c:v>
                </c:pt>
                <c:pt idx="9">
                  <c:v>12014.127256326075</c:v>
                </c:pt>
                <c:pt idx="10">
                  <c:v>11715.855663192728</c:v>
                </c:pt>
                <c:pt idx="11">
                  <c:v>11410.205498428892</c:v>
                </c:pt>
                <c:pt idx="12">
                  <c:v>11113.186202765482</c:v>
                </c:pt>
                <c:pt idx="13">
                  <c:v>10792.364426035867</c:v>
                </c:pt>
                <c:pt idx="14">
                  <c:v>10463.701183929781</c:v>
                </c:pt>
                <c:pt idx="15">
                  <c:v>10143.33260344372</c:v>
                </c:pt>
                <c:pt idx="16">
                  <c:v>9798.5442655875231</c:v>
                </c:pt>
                <c:pt idx="17">
                  <c:v>9445.4231410158973</c:v>
                </c:pt>
                <c:pt idx="18">
                  <c:v>9100.2326182649631</c:v>
                </c:pt>
                <c:pt idx="19">
                  <c:v>8729.974344154889</c:v>
                </c:pt>
                <c:pt idx="20">
                  <c:v>8350.8617936037444</c:v>
                </c:pt>
                <c:pt idx="21">
                  <c:v>7979.2861667695652</c:v>
                </c:pt>
                <c:pt idx="22">
                  <c:v>7581.9622561748911</c:v>
                </c:pt>
                <c:pt idx="23">
                  <c:v>7175.2305636759374</c:v>
                </c:pt>
                <c:pt idx="24">
                  <c:v>6775.6106238929569</c:v>
                </c:pt>
                <c:pt idx="25">
                  <c:v>6349.5273978655823</c:v>
                </c:pt>
                <c:pt idx="26">
                  <c:v>5913.4489083028202</c:v>
                </c:pt>
                <c:pt idx="27">
                  <c:v>5484.0235177055692</c:v>
                </c:pt>
                <c:pt idx="28">
                  <c:v>5027.3833188979588</c:v>
                </c:pt>
                <c:pt idx="29">
                  <c:v>4560.1243183247898</c:v>
                </c:pt>
              </c:numCache>
            </c:numRef>
          </c:val>
          <c:smooth val="0"/>
          <c:extLst>
            <c:ext xmlns:c16="http://schemas.microsoft.com/office/drawing/2014/chart" uri="{C3380CC4-5D6E-409C-BE32-E72D297353CC}">
              <c16:uniqueId val="{00000004-46BC-A049-B35B-192C7EC61B72}"/>
            </c:ext>
          </c:extLst>
        </c:ser>
        <c:ser>
          <c:idx val="5"/>
          <c:order val="5"/>
          <c:tx>
            <c:strRef>
              <c:f>'DETAILED MODELLER - PERSON 1'!$I$97</c:f>
              <c:strCache>
                <c:ptCount val="1"/>
                <c:pt idx="0">
                  <c:v>ETHICAL 4 - BUY POWER</c:v>
                </c:pt>
              </c:strCache>
            </c:strRef>
          </c:tx>
          <c:spPr>
            <a:ln w="34925" cap="rnd">
              <a:solidFill>
                <a:schemeClr val="accent6"/>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1'!$I$98:$I$127</c:f>
              <c:numCache>
                <c:formatCode>"£"#,##0</c:formatCode>
                <c:ptCount val="30"/>
                <c:pt idx="1">
                  <c:v>14306.291623596846</c:v>
                </c:pt>
                <c:pt idx="2">
                  <c:v>13980.793809622042</c:v>
                </c:pt>
                <c:pt idx="3">
                  <c:v>13625.367181232868</c:v>
                </c:pt>
                <c:pt idx="4">
                  <c:v>13384.079091867818</c:v>
                </c:pt>
                <c:pt idx="5">
                  <c:v>13136.350567043522</c:v>
                </c:pt>
                <c:pt idx="6">
                  <c:v>12882.047723714011</c:v>
                </c:pt>
                <c:pt idx="7">
                  <c:v>12621.033985225582</c:v>
                </c:pt>
                <c:pt idx="8">
                  <c:v>12353.170027394535</c:v>
                </c:pt>
                <c:pt idx="9">
                  <c:v>12070.284189591897</c:v>
                </c:pt>
                <c:pt idx="10">
                  <c:v>11780.212634940937</c:v>
                </c:pt>
                <c:pt idx="11">
                  <c:v>11482.807243429368</c:v>
                </c:pt>
                <c:pt idx="12">
                  <c:v>11177.916919941785</c:v>
                </c:pt>
                <c:pt idx="13">
                  <c:v>10865.387534720998</c:v>
                </c:pt>
                <c:pt idx="14">
                  <c:v>10545.061862638449</c:v>
                </c:pt>
                <c:pt idx="15">
                  <c:v>10208.610073088719</c:v>
                </c:pt>
                <c:pt idx="16">
                  <c:v>9863.9930201261777</c:v>
                </c:pt>
                <c:pt idx="17">
                  <c:v>9511.0436298914028</c:v>
                </c:pt>
                <c:pt idx="18">
                  <c:v>9149.5914771591852</c:v>
                </c:pt>
                <c:pt idx="19">
                  <c:v>8779.4627182852637</c:v>
                </c:pt>
                <c:pt idx="20">
                  <c:v>8400.4800228119275</c:v>
                </c:pt>
                <c:pt idx="21">
                  <c:v>8012.4625037056758</c:v>
                </c:pt>
                <c:pt idx="22">
                  <c:v>7615.2256461995312</c:v>
                </c:pt>
                <c:pt idx="23">
                  <c:v>7208.5812352121575</c:v>
                </c:pt>
                <c:pt idx="24">
                  <c:v>6792.3372813152928</c:v>
                </c:pt>
                <c:pt idx="25">
                  <c:v>6366.2979452204381</c:v>
                </c:pt>
                <c:pt idx="26">
                  <c:v>5930.2634607552354</c:v>
                </c:pt>
                <c:pt idx="27">
                  <c:v>5484.0300562992852</c:v>
                </c:pt>
                <c:pt idx="28">
                  <c:v>5027.3898746486266</c:v>
                </c:pt>
                <c:pt idx="29">
                  <c:v>4551.6561632048251</c:v>
                </c:pt>
              </c:numCache>
            </c:numRef>
          </c:val>
          <c:smooth val="0"/>
          <c:extLst>
            <c:ext xmlns:c16="http://schemas.microsoft.com/office/drawing/2014/chart" uri="{C3380CC4-5D6E-409C-BE32-E72D297353CC}">
              <c16:uniqueId val="{00000005-46BC-A049-B35B-192C7EC61B72}"/>
            </c:ext>
          </c:extLst>
        </c:ser>
        <c:ser>
          <c:idx val="6"/>
          <c:order val="6"/>
          <c:tx>
            <c:strRef>
              <c:f>'DETAILED MODELLER - PERSON 1'!$J$97</c:f>
              <c:strCache>
                <c:ptCount val="1"/>
                <c:pt idx="0">
                  <c:v>RPI BASED PENSION VALUE(£)</c:v>
                </c:pt>
              </c:strCache>
            </c:strRef>
          </c:tx>
          <c:spPr>
            <a:ln w="41275" cap="rnd">
              <a:solidFill>
                <a:srgbClr val="00B050"/>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1'!$J$98:$J$127</c:f>
              <c:numCache>
                <c:formatCode>"£"#,##0</c:formatCode>
                <c:ptCount val="30"/>
                <c:pt idx="0">
                  <c:v>15390</c:v>
                </c:pt>
                <c:pt idx="1">
                  <c:v>16005.6</c:v>
                </c:pt>
                <c:pt idx="2">
                  <c:v>16412.142240000001</c:v>
                </c:pt>
                <c:pt idx="3">
                  <c:v>16853.628866256</c:v>
                </c:pt>
                <c:pt idx="4">
                  <c:v>17190.701443581122</c:v>
                </c:pt>
                <c:pt idx="5">
                  <c:v>17534.515472452746</c:v>
                </c:pt>
                <c:pt idx="6">
                  <c:v>17885.205781901801</c:v>
                </c:pt>
                <c:pt idx="7">
                  <c:v>18242.909897539837</c:v>
                </c:pt>
                <c:pt idx="8">
                  <c:v>18607.768095490635</c:v>
                </c:pt>
                <c:pt idx="9">
                  <c:v>18979.923457400448</c:v>
                </c:pt>
                <c:pt idx="10">
                  <c:v>19359.521926548456</c:v>
                </c:pt>
                <c:pt idx="11">
                  <c:v>19746.712365079424</c:v>
                </c:pt>
                <c:pt idx="12">
                  <c:v>20141.646612381013</c:v>
                </c:pt>
                <c:pt idx="13">
                  <c:v>20544.479544628633</c:v>
                </c:pt>
                <c:pt idx="14">
                  <c:v>20955.369135521207</c:v>
                </c:pt>
                <c:pt idx="15">
                  <c:v>21374.47651823163</c:v>
                </c:pt>
                <c:pt idx="16">
                  <c:v>21801.966048596263</c:v>
                </c:pt>
                <c:pt idx="17">
                  <c:v>22238.005369568189</c:v>
                </c:pt>
                <c:pt idx="18">
                  <c:v>22682.765476959554</c:v>
                </c:pt>
                <c:pt idx="19">
                  <c:v>23136.420786498744</c:v>
                </c:pt>
                <c:pt idx="20">
                  <c:v>23599.14920222872</c:v>
                </c:pt>
                <c:pt idx="21">
                  <c:v>24071.132186273295</c:v>
                </c:pt>
                <c:pt idx="22">
                  <c:v>24552.55482999876</c:v>
                </c:pt>
                <c:pt idx="23">
                  <c:v>25043.605926598735</c:v>
                </c:pt>
                <c:pt idx="24">
                  <c:v>25544.478045130709</c:v>
                </c:pt>
                <c:pt idx="25">
                  <c:v>26055.367606033324</c:v>
                </c:pt>
                <c:pt idx="26">
                  <c:v>26576.474958153991</c:v>
                </c:pt>
                <c:pt idx="27">
                  <c:v>27108.004457317071</c:v>
                </c:pt>
                <c:pt idx="28">
                  <c:v>27650.164546463413</c:v>
                </c:pt>
                <c:pt idx="29">
                  <c:v>28203.167837392681</c:v>
                </c:pt>
              </c:numCache>
            </c:numRef>
          </c:val>
          <c:smooth val="0"/>
          <c:extLst>
            <c:ext xmlns:c16="http://schemas.microsoft.com/office/drawing/2014/chart" uri="{C3380CC4-5D6E-409C-BE32-E72D297353CC}">
              <c16:uniqueId val="{00000006-46BC-A049-B35B-192C7EC61B72}"/>
            </c:ext>
          </c:extLst>
        </c:ser>
        <c:ser>
          <c:idx val="7"/>
          <c:order val="7"/>
          <c:tx>
            <c:strRef>
              <c:f>'DETAILED MODELLER - PERSON 1'!$K$97</c:f>
              <c:strCache>
                <c:ptCount val="1"/>
                <c:pt idx="0">
                  <c:v>CURRENT PENSION VALUE(£)</c:v>
                </c:pt>
              </c:strCache>
            </c:strRef>
          </c:tx>
          <c:spPr>
            <a:ln w="41275" cap="rnd">
              <a:solidFill>
                <a:schemeClr val="bg1"/>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1'!$K$98:$K$127</c:f>
              <c:numCache>
                <c:formatCode>"£"#,##0</c:formatCode>
                <c:ptCount val="30"/>
                <c:pt idx="0">
                  <c:v>15061.281464530892</c:v>
                </c:pt>
                <c:pt idx="1">
                  <c:v>15155.945811798423</c:v>
                </c:pt>
                <c:pt idx="2">
                  <c:v>15216.435492092591</c:v>
                </c:pt>
                <c:pt idx="3">
                  <c:v>15280.753078389984</c:v>
                </c:pt>
                <c:pt idx="4">
                  <c:v>15328.774972122224</c:v>
                </c:pt>
                <c:pt idx="5">
                  <c:v>15376.947781340488</c:v>
                </c:pt>
                <c:pt idx="6">
                  <c:v>15425.271980317699</c:v>
                </c:pt>
                <c:pt idx="7">
                  <c:v>15473.748044817248</c:v>
                </c:pt>
                <c:pt idx="8">
                  <c:v>15522.37645209768</c:v>
                </c:pt>
                <c:pt idx="9">
                  <c:v>15571.157680917393</c:v>
                </c:pt>
                <c:pt idx="10">
                  <c:v>15620.092211539346</c:v>
                </c:pt>
                <c:pt idx="11">
                  <c:v>15669.180525735794</c:v>
                </c:pt>
                <c:pt idx="12">
                  <c:v>15718.423106793027</c:v>
                </c:pt>
                <c:pt idx="13">
                  <c:v>15767.82043951613</c:v>
                </c:pt>
                <c:pt idx="14">
                  <c:v>15817.373010233756</c:v>
                </c:pt>
                <c:pt idx="15">
                  <c:v>15867.081306802911</c:v>
                </c:pt>
                <c:pt idx="16">
                  <c:v>15916.945818613764</c:v>
                </c:pt>
                <c:pt idx="17">
                  <c:v>15966.967036594457</c:v>
                </c:pt>
                <c:pt idx="18">
                  <c:v>16017.145453215944</c:v>
                </c:pt>
                <c:pt idx="19">
                  <c:v>16067.481562496836</c:v>
                </c:pt>
                <c:pt idx="20">
                  <c:v>16117.975860008268</c:v>
                </c:pt>
                <c:pt idx="21">
                  <c:v>16168.628842878774</c:v>
                </c:pt>
                <c:pt idx="22">
                  <c:v>16219.441009799186</c:v>
                </c:pt>
                <c:pt idx="23">
                  <c:v>16270.41286102754</c:v>
                </c:pt>
                <c:pt idx="24">
                  <c:v>16321.544898394004</c:v>
                </c:pt>
                <c:pt idx="25">
                  <c:v>16372.837625305814</c:v>
                </c:pt>
                <c:pt idx="26">
                  <c:v>16424.291546752236</c:v>
                </c:pt>
                <c:pt idx="27">
                  <c:v>16475.907169309536</c:v>
                </c:pt>
                <c:pt idx="28">
                  <c:v>16527.685001145961</c:v>
                </c:pt>
                <c:pt idx="29">
                  <c:v>16579.625552026755</c:v>
                </c:pt>
              </c:numCache>
            </c:numRef>
          </c:val>
          <c:smooth val="0"/>
          <c:extLst>
            <c:ext xmlns:c16="http://schemas.microsoft.com/office/drawing/2014/chart" uri="{C3380CC4-5D6E-409C-BE32-E72D297353CC}">
              <c16:uniqueId val="{00000001-0C7C-704A-BDB4-4F14C5A70B42}"/>
            </c:ext>
          </c:extLst>
        </c:ser>
        <c:dLbls>
          <c:showLegendKey val="0"/>
          <c:showVal val="0"/>
          <c:showCatName val="0"/>
          <c:showSerName val="0"/>
          <c:showPercent val="0"/>
          <c:showBubbleSize val="0"/>
        </c:dLbls>
        <c:smooth val="0"/>
        <c:axId val="273423983"/>
        <c:axId val="225143615"/>
      </c:lineChart>
      <c:catAx>
        <c:axId val="27342398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25143615"/>
        <c:crosses val="autoZero"/>
        <c:auto val="1"/>
        <c:lblAlgn val="ctr"/>
        <c:lblOffset val="100"/>
        <c:noMultiLvlLbl val="0"/>
      </c:catAx>
      <c:valAx>
        <c:axId val="225143615"/>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Axis Title</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73423983"/>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THIRTY YEAR VIEW FROM DATE OF RETIREMENT - </a:t>
            </a:r>
            <a:r>
              <a:rPr lang="en-US">
                <a:solidFill>
                  <a:srgbClr val="FFFF00"/>
                </a:solidFill>
              </a:rPr>
              <a:t>PERSON 1</a:t>
            </a:r>
          </a:p>
          <a:p>
            <a:pPr>
              <a:defRPr/>
            </a:pPr>
            <a:r>
              <a:rPr lang="en-US"/>
              <a:t>VALUE OF</a:t>
            </a:r>
            <a:r>
              <a:rPr lang="en-US" baseline="0"/>
              <a:t> </a:t>
            </a:r>
            <a:r>
              <a:rPr lang="en-US"/>
              <a:t>PENSION &amp; IT'S BUYING POWER CONTRASTED WITH A PENSION THAT RISES </a:t>
            </a:r>
            <a:r>
              <a:rPr lang="en-US" baseline="0"/>
              <a:t> WITH INFLATION</a:t>
            </a:r>
          </a:p>
          <a:p>
            <a:pPr>
              <a:defRPr/>
            </a:pPr>
            <a:endParaRPr lang="en-US"/>
          </a:p>
        </c:rich>
      </c:tx>
      <c:layout>
        <c:manualLayout>
          <c:xMode val="edge"/>
          <c:yMode val="edge"/>
          <c:x val="0.13791981312103796"/>
          <c:y val="2.0776237680809939E-2"/>
        </c:manualLayout>
      </c:layout>
      <c:overlay val="0"/>
      <c:spPr>
        <a:noFill/>
        <a:ln>
          <a:solidFill>
            <a:schemeClr val="bg1"/>
          </a:solid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9.9459235018240402E-2"/>
          <c:y val="2.1158645550292489E-2"/>
          <c:w val="0.85730831148801334"/>
          <c:h val="0.82071429337634483"/>
        </c:manualLayout>
      </c:layout>
      <c:lineChart>
        <c:grouping val="standard"/>
        <c:varyColors val="0"/>
        <c:ser>
          <c:idx val="0"/>
          <c:order val="0"/>
          <c:tx>
            <c:strRef>
              <c:f>'DETAILED MODELLER - PERSON 1'!$D$97</c:f>
              <c:strCache>
                <c:ptCount val="1"/>
                <c:pt idx="0">
                  <c:v>PENSION BUYING POWER</c:v>
                </c:pt>
              </c:strCache>
            </c:strRef>
          </c:tx>
          <c:spPr>
            <a:ln w="41275" cap="rnd">
              <a:solidFill>
                <a:srgbClr val="FF0000"/>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1'!$D$98:$D$127</c:f>
              <c:numCache>
                <c:formatCode>"£"#,##0</c:formatCode>
                <c:ptCount val="30"/>
                <c:pt idx="0">
                  <c:v>14732.562929061784</c:v>
                </c:pt>
                <c:pt idx="1">
                  <c:v>14306.291623596846</c:v>
                </c:pt>
                <c:pt idx="2">
                  <c:v>14020.72874418518</c:v>
                </c:pt>
                <c:pt idx="3">
                  <c:v>13707.877290523968</c:v>
                </c:pt>
                <c:pt idx="4">
                  <c:v>13466.848500663327</c:v>
                </c:pt>
                <c:pt idx="5">
                  <c:v>13219.380090228231</c:v>
                </c:pt>
                <c:pt idx="6">
                  <c:v>12965.338178733597</c:v>
                </c:pt>
                <c:pt idx="7">
                  <c:v>12704.586192094659</c:v>
                </c:pt>
                <c:pt idx="8">
                  <c:v>12436.984808704725</c:v>
                </c:pt>
                <c:pt idx="9">
                  <c:v>12162.391904434338</c:v>
                </c:pt>
                <c:pt idx="10">
                  <c:v>11880.662496530236</c:v>
                </c:pt>
                <c:pt idx="11">
                  <c:v>11591.648686392164</c:v>
                </c:pt>
                <c:pt idx="12">
                  <c:v>11295.19960120504</c:v>
                </c:pt>
                <c:pt idx="13">
                  <c:v>10991.161334403627</c:v>
                </c:pt>
                <c:pt idx="14">
                  <c:v>10679.376884946305</c:v>
                </c:pt>
                <c:pt idx="15">
                  <c:v>10359.686095374193</c:v>
                </c:pt>
                <c:pt idx="16">
                  <c:v>10031.925588631264</c:v>
                </c:pt>
                <c:pt idx="17">
                  <c:v>9695.9287036207243</c:v>
                </c:pt>
                <c:pt idx="18">
                  <c:v>9351.5254294723345</c:v>
                </c:pt>
                <c:pt idx="19">
                  <c:v>8998.5423384949281</c:v>
                </c:pt>
                <c:pt idx="20">
                  <c:v>8636.8025177878153</c:v>
                </c:pt>
                <c:pt idx="21">
                  <c:v>8266.1254994842529</c:v>
                </c:pt>
                <c:pt idx="22">
                  <c:v>7886.3271895996113</c:v>
                </c:pt>
                <c:pt idx="23">
                  <c:v>7497.2197954563453</c:v>
                </c:pt>
                <c:pt idx="24">
                  <c:v>7098.6117516572995</c:v>
                </c:pt>
                <c:pt idx="25">
                  <c:v>6690.3076445783045</c:v>
                </c:pt>
                <c:pt idx="26">
                  <c:v>6272.1081353504815</c:v>
                </c:pt>
                <c:pt idx="27">
                  <c:v>5843.8098813020006</c:v>
                </c:pt>
                <c:pt idx="28">
                  <c:v>5405.205455828509</c:v>
                </c:pt>
                <c:pt idx="29">
                  <c:v>4956.0832666608294</c:v>
                </c:pt>
              </c:numCache>
            </c:numRef>
          </c:val>
          <c:smooth val="0"/>
          <c:extLst>
            <c:ext xmlns:c16="http://schemas.microsoft.com/office/drawing/2014/chart" uri="{C3380CC4-5D6E-409C-BE32-E72D297353CC}">
              <c16:uniqueId val="{00000000-65E4-784F-B69E-41ECBCB841C5}"/>
            </c:ext>
          </c:extLst>
        </c:ser>
        <c:ser>
          <c:idx val="6"/>
          <c:order val="1"/>
          <c:tx>
            <c:strRef>
              <c:f>'DETAILED MODELLER - PERSON 1'!$J$97</c:f>
              <c:strCache>
                <c:ptCount val="1"/>
                <c:pt idx="0">
                  <c:v>RPI BASED PENSION VALUE(£)</c:v>
                </c:pt>
              </c:strCache>
            </c:strRef>
          </c:tx>
          <c:spPr>
            <a:ln w="41275" cap="rnd">
              <a:solidFill>
                <a:srgbClr val="00B050"/>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1'!$J$98:$J$127</c:f>
              <c:numCache>
                <c:formatCode>"£"#,##0</c:formatCode>
                <c:ptCount val="30"/>
                <c:pt idx="0">
                  <c:v>15390</c:v>
                </c:pt>
                <c:pt idx="1">
                  <c:v>16005.6</c:v>
                </c:pt>
                <c:pt idx="2">
                  <c:v>16412.142240000001</c:v>
                </c:pt>
                <c:pt idx="3">
                  <c:v>16853.628866256</c:v>
                </c:pt>
                <c:pt idx="4">
                  <c:v>17190.701443581122</c:v>
                </c:pt>
                <c:pt idx="5">
                  <c:v>17534.515472452746</c:v>
                </c:pt>
                <c:pt idx="6">
                  <c:v>17885.205781901801</c:v>
                </c:pt>
                <c:pt idx="7">
                  <c:v>18242.909897539837</c:v>
                </c:pt>
                <c:pt idx="8">
                  <c:v>18607.768095490635</c:v>
                </c:pt>
                <c:pt idx="9">
                  <c:v>18979.923457400448</c:v>
                </c:pt>
                <c:pt idx="10">
                  <c:v>19359.521926548456</c:v>
                </c:pt>
                <c:pt idx="11">
                  <c:v>19746.712365079424</c:v>
                </c:pt>
                <c:pt idx="12">
                  <c:v>20141.646612381013</c:v>
                </c:pt>
                <c:pt idx="13">
                  <c:v>20544.479544628633</c:v>
                </c:pt>
                <c:pt idx="14">
                  <c:v>20955.369135521207</c:v>
                </c:pt>
                <c:pt idx="15">
                  <c:v>21374.47651823163</c:v>
                </c:pt>
                <c:pt idx="16">
                  <c:v>21801.966048596263</c:v>
                </c:pt>
                <c:pt idx="17">
                  <c:v>22238.005369568189</c:v>
                </c:pt>
                <c:pt idx="18">
                  <c:v>22682.765476959554</c:v>
                </c:pt>
                <c:pt idx="19">
                  <c:v>23136.420786498744</c:v>
                </c:pt>
                <c:pt idx="20">
                  <c:v>23599.14920222872</c:v>
                </c:pt>
                <c:pt idx="21">
                  <c:v>24071.132186273295</c:v>
                </c:pt>
                <c:pt idx="22">
                  <c:v>24552.55482999876</c:v>
                </c:pt>
                <c:pt idx="23">
                  <c:v>25043.605926598735</c:v>
                </c:pt>
                <c:pt idx="24">
                  <c:v>25544.478045130709</c:v>
                </c:pt>
                <c:pt idx="25">
                  <c:v>26055.367606033324</c:v>
                </c:pt>
                <c:pt idx="26">
                  <c:v>26576.474958153991</c:v>
                </c:pt>
                <c:pt idx="27">
                  <c:v>27108.004457317071</c:v>
                </c:pt>
                <c:pt idx="28">
                  <c:v>27650.164546463413</c:v>
                </c:pt>
                <c:pt idx="29">
                  <c:v>28203.167837392681</c:v>
                </c:pt>
              </c:numCache>
            </c:numRef>
          </c:val>
          <c:smooth val="0"/>
          <c:extLst>
            <c:ext xmlns:c16="http://schemas.microsoft.com/office/drawing/2014/chart" uri="{C3380CC4-5D6E-409C-BE32-E72D297353CC}">
              <c16:uniqueId val="{00000006-65E4-784F-B69E-41ECBCB841C5}"/>
            </c:ext>
          </c:extLst>
        </c:ser>
        <c:ser>
          <c:idx val="7"/>
          <c:order val="2"/>
          <c:tx>
            <c:strRef>
              <c:f>'DETAILED MODELLER - PERSON 1'!$K$97</c:f>
              <c:strCache>
                <c:ptCount val="1"/>
                <c:pt idx="0">
                  <c:v>CURRENT PENSION VALUE(£)</c:v>
                </c:pt>
              </c:strCache>
            </c:strRef>
          </c:tx>
          <c:spPr>
            <a:ln w="41275" cap="rnd">
              <a:solidFill>
                <a:schemeClr val="bg1"/>
              </a:solidFill>
              <a:round/>
            </a:ln>
            <a:effectLst>
              <a:outerShdw blurRad="57150" dist="19050" dir="5400000" algn="ctr" rotWithShape="0">
                <a:srgbClr val="000000">
                  <a:alpha val="63000"/>
                </a:srgbClr>
              </a:outerShdw>
            </a:effectLst>
          </c:spPr>
          <c:marker>
            <c:symbol val="none"/>
          </c:marker>
          <c:cat>
            <c:numRef>
              <c:f>'DETAILED MODELLER - PERSON 1'!$C$98:$C$127</c:f>
              <c:numCache>
                <c:formatCode>General</c:formatCode>
                <c:ptCount val="30"/>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numCache>
            </c:numRef>
          </c:cat>
          <c:val>
            <c:numRef>
              <c:f>'DETAILED MODELLER - PERSON 1'!$K$98:$K$127</c:f>
              <c:numCache>
                <c:formatCode>"£"#,##0</c:formatCode>
                <c:ptCount val="30"/>
                <c:pt idx="0">
                  <c:v>15061.281464530892</c:v>
                </c:pt>
                <c:pt idx="1">
                  <c:v>15155.945811798423</c:v>
                </c:pt>
                <c:pt idx="2">
                  <c:v>15216.435492092591</c:v>
                </c:pt>
                <c:pt idx="3">
                  <c:v>15280.753078389984</c:v>
                </c:pt>
                <c:pt idx="4">
                  <c:v>15328.774972122224</c:v>
                </c:pt>
                <c:pt idx="5">
                  <c:v>15376.947781340488</c:v>
                </c:pt>
                <c:pt idx="6">
                  <c:v>15425.271980317699</c:v>
                </c:pt>
                <c:pt idx="7">
                  <c:v>15473.748044817248</c:v>
                </c:pt>
                <c:pt idx="8">
                  <c:v>15522.37645209768</c:v>
                </c:pt>
                <c:pt idx="9">
                  <c:v>15571.157680917393</c:v>
                </c:pt>
                <c:pt idx="10">
                  <c:v>15620.092211539346</c:v>
                </c:pt>
                <c:pt idx="11">
                  <c:v>15669.180525735794</c:v>
                </c:pt>
                <c:pt idx="12">
                  <c:v>15718.423106793027</c:v>
                </c:pt>
                <c:pt idx="13">
                  <c:v>15767.82043951613</c:v>
                </c:pt>
                <c:pt idx="14">
                  <c:v>15817.373010233756</c:v>
                </c:pt>
                <c:pt idx="15">
                  <c:v>15867.081306802911</c:v>
                </c:pt>
                <c:pt idx="16">
                  <c:v>15916.945818613764</c:v>
                </c:pt>
                <c:pt idx="17">
                  <c:v>15966.967036594457</c:v>
                </c:pt>
                <c:pt idx="18">
                  <c:v>16017.145453215944</c:v>
                </c:pt>
                <c:pt idx="19">
                  <c:v>16067.481562496836</c:v>
                </c:pt>
                <c:pt idx="20">
                  <c:v>16117.975860008268</c:v>
                </c:pt>
                <c:pt idx="21">
                  <c:v>16168.628842878774</c:v>
                </c:pt>
                <c:pt idx="22">
                  <c:v>16219.441009799186</c:v>
                </c:pt>
                <c:pt idx="23">
                  <c:v>16270.41286102754</c:v>
                </c:pt>
                <c:pt idx="24">
                  <c:v>16321.544898394004</c:v>
                </c:pt>
                <c:pt idx="25">
                  <c:v>16372.837625305814</c:v>
                </c:pt>
                <c:pt idx="26">
                  <c:v>16424.291546752236</c:v>
                </c:pt>
                <c:pt idx="27">
                  <c:v>16475.907169309536</c:v>
                </c:pt>
                <c:pt idx="28">
                  <c:v>16527.685001145961</c:v>
                </c:pt>
                <c:pt idx="29">
                  <c:v>16579.625552026755</c:v>
                </c:pt>
              </c:numCache>
            </c:numRef>
          </c:val>
          <c:smooth val="0"/>
          <c:extLst>
            <c:ext xmlns:c16="http://schemas.microsoft.com/office/drawing/2014/chart" uri="{C3380CC4-5D6E-409C-BE32-E72D297353CC}">
              <c16:uniqueId val="{00000007-65E4-784F-B69E-41ECBCB841C5}"/>
            </c:ext>
          </c:extLst>
        </c:ser>
        <c:dLbls>
          <c:showLegendKey val="0"/>
          <c:showVal val="0"/>
          <c:showCatName val="0"/>
          <c:showSerName val="0"/>
          <c:showPercent val="0"/>
          <c:showBubbleSize val="0"/>
        </c:dLbls>
        <c:smooth val="0"/>
        <c:axId val="273423983"/>
        <c:axId val="225143615"/>
      </c:lineChart>
      <c:catAx>
        <c:axId val="27342398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25143615"/>
        <c:crosses val="autoZero"/>
        <c:auto val="1"/>
        <c:lblAlgn val="ctr"/>
        <c:lblOffset val="100"/>
        <c:noMultiLvlLbl val="0"/>
      </c:catAx>
      <c:valAx>
        <c:axId val="225143615"/>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Axis Title</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73423983"/>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1</xdr:row>
      <xdr:rowOff>0</xdr:rowOff>
    </xdr:from>
    <xdr:to>
      <xdr:col>11</xdr:col>
      <xdr:colOff>647700</xdr:colOff>
      <xdr:row>64</xdr:row>
      <xdr:rowOff>180302</xdr:rowOff>
    </xdr:to>
    <xdr:pic>
      <xdr:nvPicPr>
        <xdr:cNvPr id="2" name="Picture 1">
          <a:extLst>
            <a:ext uri="{FF2B5EF4-FFF2-40B4-BE49-F238E27FC236}">
              <a16:creationId xmlns:a16="http://schemas.microsoft.com/office/drawing/2014/main" id="{690CF9FF-04A8-F046-BFD5-DBF6B906E3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0" y="203200"/>
          <a:ext cx="8851900" cy="121818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381000</xdr:colOff>
      <xdr:row>28</xdr:row>
      <xdr:rowOff>46181</xdr:rowOff>
    </xdr:from>
    <xdr:to>
      <xdr:col>10</xdr:col>
      <xdr:colOff>381000</xdr:colOff>
      <xdr:row>31</xdr:row>
      <xdr:rowOff>25400</xdr:rowOff>
    </xdr:to>
    <xdr:cxnSp macro="">
      <xdr:nvCxnSpPr>
        <xdr:cNvPr id="2" name="Straight Arrow Connector 1">
          <a:extLst>
            <a:ext uri="{FF2B5EF4-FFF2-40B4-BE49-F238E27FC236}">
              <a16:creationId xmlns:a16="http://schemas.microsoft.com/office/drawing/2014/main" id="{FEA2C083-1762-5F48-8162-3C9297A4DB62}"/>
            </a:ext>
          </a:extLst>
        </xdr:cNvPr>
        <xdr:cNvCxnSpPr/>
      </xdr:nvCxnSpPr>
      <xdr:spPr>
        <a:xfrm>
          <a:off x="12052300" y="7640781"/>
          <a:ext cx="0" cy="58881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393700</xdr:colOff>
      <xdr:row>28</xdr:row>
      <xdr:rowOff>76200</xdr:rowOff>
    </xdr:from>
    <xdr:to>
      <xdr:col>12</xdr:col>
      <xdr:colOff>393700</xdr:colOff>
      <xdr:row>31</xdr:row>
      <xdr:rowOff>25400</xdr:rowOff>
    </xdr:to>
    <xdr:cxnSp macro="">
      <xdr:nvCxnSpPr>
        <xdr:cNvPr id="3" name="Straight Arrow Connector 2">
          <a:extLst>
            <a:ext uri="{FF2B5EF4-FFF2-40B4-BE49-F238E27FC236}">
              <a16:creationId xmlns:a16="http://schemas.microsoft.com/office/drawing/2014/main" id="{C7D518E3-69EA-ED44-A03E-2EBD141E0B83}"/>
            </a:ext>
          </a:extLst>
        </xdr:cNvPr>
        <xdr:cNvCxnSpPr/>
      </xdr:nvCxnSpPr>
      <xdr:spPr>
        <a:xfrm>
          <a:off x="13665200" y="7670800"/>
          <a:ext cx="0" cy="558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76200</xdr:colOff>
      <xdr:row>13</xdr:row>
      <xdr:rowOff>203200</xdr:rowOff>
    </xdr:from>
    <xdr:to>
      <xdr:col>6</xdr:col>
      <xdr:colOff>317500</xdr:colOff>
      <xdr:row>13</xdr:row>
      <xdr:rowOff>203200</xdr:rowOff>
    </xdr:to>
    <xdr:cxnSp macro="">
      <xdr:nvCxnSpPr>
        <xdr:cNvPr id="4" name="Straight Arrow Connector 3">
          <a:extLst>
            <a:ext uri="{FF2B5EF4-FFF2-40B4-BE49-F238E27FC236}">
              <a16:creationId xmlns:a16="http://schemas.microsoft.com/office/drawing/2014/main" id="{57B8AD60-9488-F341-A520-FB7DFF72BAE4}"/>
            </a:ext>
          </a:extLst>
        </xdr:cNvPr>
        <xdr:cNvCxnSpPr/>
      </xdr:nvCxnSpPr>
      <xdr:spPr>
        <a:xfrm>
          <a:off x="8051800" y="3644900"/>
          <a:ext cx="1066800" cy="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381000</xdr:colOff>
      <xdr:row>26</xdr:row>
      <xdr:rowOff>12700</xdr:rowOff>
    </xdr:from>
    <xdr:to>
      <xdr:col>10</xdr:col>
      <xdr:colOff>393700</xdr:colOff>
      <xdr:row>27</xdr:row>
      <xdr:rowOff>0</xdr:rowOff>
    </xdr:to>
    <xdr:cxnSp macro="">
      <xdr:nvCxnSpPr>
        <xdr:cNvPr id="5" name="Straight Arrow Connector 4">
          <a:extLst>
            <a:ext uri="{FF2B5EF4-FFF2-40B4-BE49-F238E27FC236}">
              <a16:creationId xmlns:a16="http://schemas.microsoft.com/office/drawing/2014/main" id="{10C05468-5FC8-8E4E-888A-778299F0711E}"/>
            </a:ext>
          </a:extLst>
        </xdr:cNvPr>
        <xdr:cNvCxnSpPr/>
      </xdr:nvCxnSpPr>
      <xdr:spPr>
        <a:xfrm>
          <a:off x="12052300" y="7188200"/>
          <a:ext cx="1270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393700</xdr:colOff>
      <xdr:row>26</xdr:row>
      <xdr:rowOff>0</xdr:rowOff>
    </xdr:from>
    <xdr:to>
      <xdr:col>12</xdr:col>
      <xdr:colOff>406400</xdr:colOff>
      <xdr:row>26</xdr:row>
      <xdr:rowOff>190500</xdr:rowOff>
    </xdr:to>
    <xdr:cxnSp macro="">
      <xdr:nvCxnSpPr>
        <xdr:cNvPr id="6" name="Straight Arrow Connector 5">
          <a:extLst>
            <a:ext uri="{FF2B5EF4-FFF2-40B4-BE49-F238E27FC236}">
              <a16:creationId xmlns:a16="http://schemas.microsoft.com/office/drawing/2014/main" id="{C11684F3-BED8-DD45-B595-F163E9C7CF3E}"/>
            </a:ext>
          </a:extLst>
        </xdr:cNvPr>
        <xdr:cNvCxnSpPr/>
      </xdr:nvCxnSpPr>
      <xdr:spPr>
        <a:xfrm>
          <a:off x="13665200" y="7175500"/>
          <a:ext cx="1270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43745</xdr:colOff>
      <xdr:row>1</xdr:row>
      <xdr:rowOff>177800</xdr:rowOff>
    </xdr:from>
    <xdr:to>
      <xdr:col>22</xdr:col>
      <xdr:colOff>25400</xdr:colOff>
      <xdr:row>49</xdr:row>
      <xdr:rowOff>0</xdr:rowOff>
    </xdr:to>
    <xdr:graphicFrame macro="">
      <xdr:nvGraphicFramePr>
        <xdr:cNvPr id="4" name="Chart 3">
          <a:extLst>
            <a:ext uri="{FF2B5EF4-FFF2-40B4-BE49-F238E27FC236}">
              <a16:creationId xmlns:a16="http://schemas.microsoft.com/office/drawing/2014/main" id="{4E9C2229-BC8E-7044-BF29-C2FE4EA708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50</xdr:row>
      <xdr:rowOff>0</xdr:rowOff>
    </xdr:from>
    <xdr:to>
      <xdr:col>22</xdr:col>
      <xdr:colOff>12700</xdr:colOff>
      <xdr:row>97</xdr:row>
      <xdr:rowOff>38101</xdr:rowOff>
    </xdr:to>
    <xdr:graphicFrame macro="">
      <xdr:nvGraphicFramePr>
        <xdr:cNvPr id="6" name="Chart 5">
          <a:extLst>
            <a:ext uri="{FF2B5EF4-FFF2-40B4-BE49-F238E27FC236}">
              <a16:creationId xmlns:a16="http://schemas.microsoft.com/office/drawing/2014/main" id="{59DD9D09-D93E-AC44-A556-0AFE28FB8A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21</xdr:col>
      <xdr:colOff>736943</xdr:colOff>
      <xdr:row>150</xdr:row>
      <xdr:rowOff>18494</xdr:rowOff>
    </xdr:from>
    <xdr:to>
      <xdr:col>50</xdr:col>
      <xdr:colOff>0</xdr:colOff>
      <xdr:row>198</xdr:row>
      <xdr:rowOff>105833</xdr:rowOff>
    </xdr:to>
    <xdr:graphicFrame macro="">
      <xdr:nvGraphicFramePr>
        <xdr:cNvPr id="6" name="Chart 5">
          <a:extLst>
            <a:ext uri="{FF2B5EF4-FFF2-40B4-BE49-F238E27FC236}">
              <a16:creationId xmlns:a16="http://schemas.microsoft.com/office/drawing/2014/main" id="{1636AF18-EF07-D64C-88AE-72EC75561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30343</xdr:colOff>
      <xdr:row>104</xdr:row>
      <xdr:rowOff>189852</xdr:rowOff>
    </xdr:from>
    <xdr:to>
      <xdr:col>49</xdr:col>
      <xdr:colOff>219461</xdr:colOff>
      <xdr:row>148</xdr:row>
      <xdr:rowOff>141261</xdr:rowOff>
    </xdr:to>
    <xdr:graphicFrame macro="">
      <xdr:nvGraphicFramePr>
        <xdr:cNvPr id="4" name="Chart 3">
          <a:extLst>
            <a:ext uri="{FF2B5EF4-FFF2-40B4-BE49-F238E27FC236}">
              <a16:creationId xmlns:a16="http://schemas.microsoft.com/office/drawing/2014/main" id="{C61F8B2E-D1F3-2D48-8073-9EA6313FC0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13805</xdr:colOff>
      <xdr:row>62</xdr:row>
      <xdr:rowOff>17485</xdr:rowOff>
    </xdr:from>
    <xdr:to>
      <xdr:col>49</xdr:col>
      <xdr:colOff>224090</xdr:colOff>
      <xdr:row>104</xdr:row>
      <xdr:rowOff>106016</xdr:rowOff>
    </xdr:to>
    <xdr:graphicFrame macro="">
      <xdr:nvGraphicFramePr>
        <xdr:cNvPr id="5" name="Chart 4">
          <a:extLst>
            <a:ext uri="{FF2B5EF4-FFF2-40B4-BE49-F238E27FC236}">
              <a16:creationId xmlns:a16="http://schemas.microsoft.com/office/drawing/2014/main" id="{806C59AE-43F9-9D43-9FF4-DE3D87F3B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ECDE9-1642-F24E-8B25-A56C95D85131}">
  <dimension ref="A1"/>
  <sheetViews>
    <sheetView workbookViewId="0">
      <selection activeCell="N49" sqref="N49"/>
    </sheetView>
  </sheetViews>
  <sheetFormatPr baseColWidth="10"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5239C-8F5D-9B4D-9E49-3C80E12681FD}">
  <dimension ref="B1:S47"/>
  <sheetViews>
    <sheetView tabSelected="1" zoomScale="90" zoomScaleNormal="90" workbookViewId="0">
      <selection activeCell="A2" sqref="A2"/>
    </sheetView>
  </sheetViews>
  <sheetFormatPr baseColWidth="10" defaultRowHeight="15"/>
  <cols>
    <col min="1" max="1" width="7" customWidth="1"/>
    <col min="2" max="2" width="74" customWidth="1"/>
    <col min="3" max="3" width="6.33203125" customWidth="1"/>
    <col min="4" max="4" width="12.33203125" customWidth="1"/>
    <col min="7" max="7" width="12" customWidth="1"/>
    <col min="8" max="8" width="11" customWidth="1"/>
    <col min="9" max="9" width="11.5" customWidth="1"/>
    <col min="11" max="11" width="11.83203125" customWidth="1"/>
    <col min="12" max="12" width="9.83203125" customWidth="1"/>
    <col min="13" max="13" width="12.1640625" bestFit="1" customWidth="1"/>
    <col min="14" max="14" width="10.1640625" customWidth="1"/>
    <col min="15" max="15" width="14" customWidth="1"/>
    <col min="16" max="16" width="11.83203125" bestFit="1" customWidth="1"/>
    <col min="17" max="17" width="10.1640625" customWidth="1"/>
    <col min="18" max="18" width="12.6640625" customWidth="1"/>
  </cols>
  <sheetData>
    <row r="1" spans="2:19" ht="8" customHeight="1" thickBot="1"/>
    <row r="2" spans="2:19" ht="35" customHeight="1" thickBot="1">
      <c r="B2" s="552" t="s">
        <v>292</v>
      </c>
      <c r="C2" s="553"/>
      <c r="D2" s="553"/>
      <c r="E2" s="553"/>
      <c r="F2" s="553"/>
      <c r="G2" s="553"/>
      <c r="H2" s="553"/>
      <c r="I2" s="553"/>
      <c r="J2" s="553"/>
      <c r="K2" s="553"/>
      <c r="L2" s="553"/>
      <c r="M2" s="553"/>
      <c r="N2" s="553"/>
      <c r="O2" s="553"/>
      <c r="P2" s="553"/>
      <c r="Q2" s="553"/>
      <c r="R2" s="553"/>
      <c r="S2" s="554"/>
    </row>
    <row r="3" spans="2:19" ht="16" thickBot="1">
      <c r="B3" s="145"/>
      <c r="C3" s="146"/>
      <c r="D3" s="146"/>
      <c r="E3" s="146"/>
      <c r="F3" s="146"/>
      <c r="G3" s="146"/>
      <c r="H3" s="146"/>
      <c r="I3" s="146"/>
      <c r="J3" s="146"/>
      <c r="K3" s="146"/>
      <c r="L3" s="146"/>
      <c r="M3" s="146"/>
      <c r="N3" s="146"/>
      <c r="O3" s="146"/>
      <c r="P3" s="146"/>
      <c r="Q3" s="146"/>
      <c r="R3" s="146"/>
      <c r="S3" s="147"/>
    </row>
    <row r="4" spans="2:19" ht="27" customHeight="1" thickBot="1">
      <c r="B4" s="555" t="s">
        <v>269</v>
      </c>
      <c r="C4" s="556"/>
      <c r="D4" s="557"/>
      <c r="E4" s="67"/>
      <c r="F4" s="67"/>
      <c r="G4" s="67"/>
      <c r="H4" s="563" t="s">
        <v>293</v>
      </c>
      <c r="I4" s="563"/>
      <c r="J4" s="563"/>
      <c r="K4" s="563"/>
      <c r="L4" s="563"/>
      <c r="M4" s="563"/>
      <c r="N4" s="563"/>
      <c r="O4" s="563"/>
      <c r="P4" s="563"/>
      <c r="Q4" s="563"/>
      <c r="R4" s="563"/>
      <c r="S4" s="564"/>
    </row>
    <row r="5" spans="2:19" ht="16" customHeight="1">
      <c r="B5" s="151"/>
      <c r="C5" s="370" t="s">
        <v>205</v>
      </c>
      <c r="D5" s="67"/>
      <c r="E5" s="67"/>
      <c r="F5" s="67"/>
      <c r="G5" s="67"/>
      <c r="H5" s="563"/>
      <c r="I5" s="563"/>
      <c r="J5" s="563"/>
      <c r="K5" s="563"/>
      <c r="L5" s="563"/>
      <c r="M5" s="563"/>
      <c r="N5" s="563"/>
      <c r="O5" s="563"/>
      <c r="P5" s="563"/>
      <c r="Q5" s="563"/>
      <c r="R5" s="563"/>
      <c r="S5" s="564"/>
    </row>
    <row r="6" spans="2:19" ht="21" customHeight="1">
      <c r="B6" s="151"/>
      <c r="C6" s="419" t="s">
        <v>206</v>
      </c>
      <c r="D6" s="420">
        <v>0.02</v>
      </c>
      <c r="E6" s="421" t="s">
        <v>47</v>
      </c>
      <c r="F6" s="67"/>
      <c r="G6" s="67"/>
      <c r="H6" s="563"/>
      <c r="I6" s="563"/>
      <c r="J6" s="563"/>
      <c r="K6" s="563"/>
      <c r="L6" s="563"/>
      <c r="M6" s="563"/>
      <c r="N6" s="563"/>
      <c r="O6" s="563"/>
      <c r="P6" s="563"/>
      <c r="Q6" s="563"/>
      <c r="R6" s="563"/>
      <c r="S6" s="564"/>
    </row>
    <row r="7" spans="2:19" ht="20" thickBot="1">
      <c r="B7" s="151"/>
      <c r="C7" s="419" t="s">
        <v>207</v>
      </c>
      <c r="D7" s="422">
        <v>0.05</v>
      </c>
      <c r="E7" s="67"/>
      <c r="F7" s="67"/>
      <c r="G7" s="67"/>
      <c r="H7" s="67"/>
      <c r="I7" s="67"/>
      <c r="J7" s="67"/>
      <c r="K7" s="67"/>
      <c r="L7" s="67"/>
      <c r="M7" s="67"/>
      <c r="N7" s="67"/>
      <c r="O7" s="67"/>
      <c r="P7" s="67"/>
      <c r="Q7" s="67"/>
      <c r="R7" s="67"/>
      <c r="S7" s="148"/>
    </row>
    <row r="8" spans="2:19" ht="20" thickBot="1">
      <c r="B8" s="558" t="s">
        <v>208</v>
      </c>
      <c r="C8" s="559"/>
      <c r="D8" s="380">
        <f>IF(D6&lt;D7,D6,D7)</f>
        <v>0.02</v>
      </c>
      <c r="E8" s="67"/>
      <c r="F8" s="67"/>
      <c r="G8" s="67"/>
      <c r="H8" s="560" t="s">
        <v>270</v>
      </c>
      <c r="I8" s="561" t="s">
        <v>299</v>
      </c>
      <c r="J8" s="561"/>
      <c r="K8" s="561"/>
      <c r="L8" s="561"/>
      <c r="M8" s="561"/>
      <c r="N8" s="561"/>
      <c r="O8" s="561"/>
      <c r="P8" s="561"/>
      <c r="Q8" s="561"/>
      <c r="R8" s="561"/>
      <c r="S8" s="562"/>
    </row>
    <row r="9" spans="2:19" ht="30" customHeight="1" thickBot="1">
      <c r="B9" s="151"/>
      <c r="C9" s="67"/>
      <c r="D9" s="67"/>
      <c r="E9" s="67"/>
      <c r="F9" s="67"/>
      <c r="G9" s="67"/>
      <c r="H9" s="560"/>
      <c r="I9" s="561"/>
      <c r="J9" s="561"/>
      <c r="K9" s="561"/>
      <c r="L9" s="561"/>
      <c r="M9" s="561"/>
      <c r="N9" s="561"/>
      <c r="O9" s="561"/>
      <c r="P9" s="561"/>
      <c r="Q9" s="561"/>
      <c r="R9" s="561"/>
      <c r="S9" s="562"/>
    </row>
    <row r="10" spans="2:19" ht="22" thickBot="1">
      <c r="B10" s="567" t="s">
        <v>209</v>
      </c>
      <c r="C10" s="568"/>
      <c r="D10" s="569"/>
      <c r="E10" s="67"/>
      <c r="F10" s="67"/>
      <c r="G10" s="67"/>
      <c r="H10" s="465"/>
      <c r="I10" s="67"/>
      <c r="J10" s="67"/>
      <c r="K10" s="67"/>
      <c r="L10" s="67"/>
      <c r="M10" s="67"/>
      <c r="N10" s="67"/>
      <c r="O10" s="67"/>
      <c r="P10" s="67"/>
      <c r="Q10" s="67"/>
      <c r="R10" s="67"/>
      <c r="S10" s="148"/>
    </row>
    <row r="11" spans="2:19" ht="19">
      <c r="B11" s="570" t="s">
        <v>271</v>
      </c>
      <c r="C11" s="571"/>
      <c r="D11" s="67"/>
      <c r="E11" s="67"/>
      <c r="F11" s="67"/>
      <c r="G11" s="67"/>
      <c r="H11" s="67"/>
      <c r="I11" s="67"/>
      <c r="J11" s="67"/>
      <c r="K11" s="67"/>
      <c r="L11" s="67"/>
      <c r="M11" s="67"/>
      <c r="N11" s="67"/>
      <c r="O11" s="67"/>
      <c r="P11" s="67"/>
      <c r="Q11" s="67"/>
      <c r="R11" s="67"/>
      <c r="S11" s="148"/>
    </row>
    <row r="12" spans="2:19" ht="19">
      <c r="B12" s="572" t="s">
        <v>210</v>
      </c>
      <c r="C12" s="573"/>
      <c r="D12" s="389">
        <f>(D6/3)*2</f>
        <v>1.3333333333333334E-2</v>
      </c>
      <c r="E12" s="67"/>
      <c r="F12" s="67"/>
      <c r="G12" s="67"/>
      <c r="H12" s="67"/>
      <c r="I12" s="67"/>
      <c r="J12" s="67"/>
      <c r="K12" s="67"/>
      <c r="L12" s="67"/>
      <c r="M12" s="67"/>
      <c r="N12" s="67"/>
      <c r="O12" s="67"/>
      <c r="P12" s="67"/>
      <c r="Q12" s="67"/>
      <c r="R12" s="67"/>
      <c r="S12" s="148"/>
    </row>
    <row r="13" spans="2:19" ht="20" thickBot="1">
      <c r="B13" s="151"/>
      <c r="C13" s="370" t="s">
        <v>211</v>
      </c>
      <c r="D13" s="389">
        <f>D7/3*2</f>
        <v>3.3333333333333333E-2</v>
      </c>
      <c r="E13" s="67"/>
      <c r="F13" s="67"/>
      <c r="G13" s="67"/>
      <c r="H13" s="494" t="s">
        <v>312</v>
      </c>
      <c r="I13" s="494"/>
      <c r="J13" s="494"/>
      <c r="K13" s="494"/>
      <c r="L13" s="494"/>
      <c r="M13" s="494"/>
      <c r="N13" s="494"/>
      <c r="O13" s="494"/>
      <c r="P13" s="494"/>
      <c r="Q13" s="494"/>
      <c r="R13" s="494"/>
      <c r="S13" s="495"/>
    </row>
    <row r="14" spans="2:19" ht="35" thickBot="1">
      <c r="B14" s="574" t="s">
        <v>212</v>
      </c>
      <c r="C14" s="575"/>
      <c r="D14" s="423">
        <f>IF(D12&lt;D13,D12,D13)</f>
        <v>1.3333333333333334E-2</v>
      </c>
      <c r="E14" s="424" t="s">
        <v>213</v>
      </c>
      <c r="F14" s="67"/>
      <c r="G14" s="67"/>
      <c r="H14" s="494"/>
      <c r="I14" s="494"/>
      <c r="J14" s="494"/>
      <c r="K14" s="494"/>
      <c r="L14" s="494"/>
      <c r="M14" s="494"/>
      <c r="N14" s="494"/>
      <c r="O14" s="494"/>
      <c r="P14" s="494"/>
      <c r="Q14" s="494"/>
      <c r="R14" s="494"/>
      <c r="S14" s="495"/>
    </row>
    <row r="15" spans="2:19">
      <c r="B15" s="151"/>
      <c r="C15" s="67"/>
      <c r="D15" s="67"/>
      <c r="E15" s="67"/>
      <c r="F15" s="67"/>
      <c r="G15" s="67"/>
      <c r="H15" s="67"/>
      <c r="I15" s="67"/>
      <c r="J15" s="67"/>
      <c r="K15" s="163"/>
      <c r="L15" s="425"/>
      <c r="M15" s="67"/>
      <c r="N15" s="67"/>
      <c r="O15" s="67"/>
      <c r="P15" s="67"/>
      <c r="Q15" s="67"/>
      <c r="R15" s="67"/>
      <c r="S15" s="148"/>
    </row>
    <row r="16" spans="2:19" ht="16" customHeight="1">
      <c r="B16" s="540" t="s">
        <v>272</v>
      </c>
      <c r="C16" s="541"/>
      <c r="D16" s="541"/>
      <c r="E16" s="67"/>
      <c r="F16" s="67"/>
      <c r="G16" s="67"/>
      <c r="H16" s="542" t="s">
        <v>273</v>
      </c>
      <c r="I16" s="542"/>
      <c r="J16" s="542"/>
      <c r="K16" s="542"/>
      <c r="L16" s="542"/>
      <c r="M16" s="542"/>
      <c r="N16" s="542"/>
      <c r="O16" s="542"/>
      <c r="P16" s="542"/>
      <c r="Q16" s="542"/>
      <c r="R16" s="542"/>
      <c r="S16" s="543"/>
    </row>
    <row r="17" spans="2:19" ht="16" customHeight="1">
      <c r="B17" s="540"/>
      <c r="C17" s="541"/>
      <c r="D17" s="541"/>
      <c r="E17" s="67"/>
      <c r="F17" s="67"/>
      <c r="G17" s="67"/>
      <c r="H17" s="542"/>
      <c r="I17" s="542"/>
      <c r="J17" s="542"/>
      <c r="K17" s="542"/>
      <c r="L17" s="542"/>
      <c r="M17" s="542"/>
      <c r="N17" s="542"/>
      <c r="O17" s="542"/>
      <c r="P17" s="542"/>
      <c r="Q17" s="542"/>
      <c r="R17" s="542"/>
      <c r="S17" s="543"/>
    </row>
    <row r="18" spans="2:19" ht="22" customHeight="1">
      <c r="B18" s="540"/>
      <c r="C18" s="541"/>
      <c r="D18" s="541"/>
      <c r="E18" s="67"/>
      <c r="F18" s="67"/>
      <c r="G18" s="67"/>
      <c r="H18" s="542"/>
      <c r="I18" s="542"/>
      <c r="J18" s="542"/>
      <c r="K18" s="542"/>
      <c r="L18" s="542"/>
      <c r="M18" s="542"/>
      <c r="N18" s="542"/>
      <c r="O18" s="542"/>
      <c r="P18" s="542"/>
      <c r="Q18" s="542"/>
      <c r="R18" s="542"/>
      <c r="S18" s="543"/>
    </row>
    <row r="19" spans="2:19" ht="13" customHeight="1">
      <c r="B19" s="151"/>
      <c r="C19" s="67"/>
      <c r="D19" s="67"/>
      <c r="E19" s="67"/>
      <c r="F19" s="67"/>
      <c r="G19" s="67"/>
      <c r="H19" s="67"/>
      <c r="I19" s="67"/>
      <c r="J19" s="67"/>
      <c r="K19" s="67"/>
      <c r="L19" s="67"/>
      <c r="M19" s="67"/>
      <c r="N19" s="67"/>
      <c r="O19" s="67"/>
      <c r="P19" s="67"/>
      <c r="Q19" s="67"/>
      <c r="R19" s="67"/>
      <c r="S19" s="148"/>
    </row>
    <row r="20" spans="2:19" ht="15" customHeight="1">
      <c r="B20" s="151"/>
      <c r="C20" s="67"/>
      <c r="D20" s="548" t="s">
        <v>215</v>
      </c>
      <c r="E20" s="548"/>
      <c r="F20" s="548"/>
      <c r="G20" s="549"/>
      <c r="H20" s="544" t="s">
        <v>216</v>
      </c>
      <c r="I20" s="544"/>
      <c r="J20" s="544"/>
      <c r="K20" s="544"/>
      <c r="L20" s="544"/>
      <c r="M20" s="544"/>
      <c r="N20" s="544"/>
      <c r="O20" s="544"/>
      <c r="P20" s="67"/>
      <c r="Q20" s="545" t="s">
        <v>216</v>
      </c>
      <c r="R20" s="546" t="s">
        <v>217</v>
      </c>
      <c r="S20" s="547" t="s">
        <v>216</v>
      </c>
    </row>
    <row r="21" spans="2:19" ht="16" customHeight="1" thickBot="1">
      <c r="B21" s="151"/>
      <c r="C21" s="67"/>
      <c r="D21" s="550"/>
      <c r="E21" s="550"/>
      <c r="F21" s="550"/>
      <c r="G21" s="551"/>
      <c r="H21" s="544"/>
      <c r="I21" s="544"/>
      <c r="J21" s="544"/>
      <c r="K21" s="544"/>
      <c r="L21" s="544"/>
      <c r="M21" s="544"/>
      <c r="N21" s="544"/>
      <c r="O21" s="544"/>
      <c r="P21" s="67"/>
      <c r="Q21" s="545"/>
      <c r="R21" s="546"/>
      <c r="S21" s="547"/>
    </row>
    <row r="22" spans="2:19" ht="25">
      <c r="B22" s="426" t="s">
        <v>218</v>
      </c>
      <c r="C22" s="67"/>
      <c r="D22" s="538" t="s">
        <v>304</v>
      </c>
      <c r="E22" s="538" t="s">
        <v>52</v>
      </c>
      <c r="F22" s="538" t="s">
        <v>53</v>
      </c>
      <c r="G22" s="538"/>
      <c r="H22" s="498" t="s">
        <v>220</v>
      </c>
      <c r="I22" s="502" t="s">
        <v>221</v>
      </c>
      <c r="J22" s="513" t="s">
        <v>77</v>
      </c>
      <c r="K22" s="504" t="s">
        <v>222</v>
      </c>
      <c r="L22" s="506" t="s">
        <v>223</v>
      </c>
      <c r="M22" s="508" t="s">
        <v>60</v>
      </c>
      <c r="N22" s="508" t="s">
        <v>224</v>
      </c>
      <c r="O22" s="510" t="s">
        <v>225</v>
      </c>
      <c r="P22" s="512" t="s">
        <v>32</v>
      </c>
      <c r="Q22" s="498" t="s">
        <v>35</v>
      </c>
      <c r="R22" s="500" t="s">
        <v>226</v>
      </c>
      <c r="S22" s="502" t="s">
        <v>227</v>
      </c>
    </row>
    <row r="23" spans="2:19" ht="70" customHeight="1" thickBot="1">
      <c r="B23" s="151"/>
      <c r="C23" s="67"/>
      <c r="D23" s="539"/>
      <c r="E23" s="539"/>
      <c r="F23" s="539"/>
      <c r="G23" s="539"/>
      <c r="H23" s="499"/>
      <c r="I23" s="503"/>
      <c r="J23" s="514"/>
      <c r="K23" s="505"/>
      <c r="L23" s="507"/>
      <c r="M23" s="509"/>
      <c r="N23" s="509"/>
      <c r="O23" s="511"/>
      <c r="P23" s="512"/>
      <c r="Q23" s="499"/>
      <c r="R23" s="501"/>
      <c r="S23" s="503"/>
    </row>
    <row r="24" spans="2:19" ht="20" thickBot="1">
      <c r="B24" s="151"/>
      <c r="C24" s="67"/>
      <c r="D24" s="427" t="s">
        <v>47</v>
      </c>
      <c r="E24" s="427" t="s">
        <v>47</v>
      </c>
      <c r="F24" s="427" t="s">
        <v>47</v>
      </c>
      <c r="G24" s="427"/>
      <c r="H24" s="371"/>
      <c r="I24" s="371"/>
      <c r="J24" s="371"/>
      <c r="K24" s="371"/>
      <c r="L24" s="371"/>
      <c r="M24" s="371"/>
      <c r="N24" s="371"/>
      <c r="O24" s="371"/>
      <c r="P24" s="67"/>
      <c r="Q24" s="371"/>
      <c r="R24" s="67"/>
      <c r="S24" s="428"/>
    </row>
    <row r="25" spans="2:19">
      <c r="B25" s="576" t="s">
        <v>274</v>
      </c>
      <c r="C25" s="67"/>
      <c r="D25" s="579">
        <v>1955</v>
      </c>
      <c r="E25" s="536">
        <v>1980</v>
      </c>
      <c r="F25" s="536">
        <v>1997</v>
      </c>
      <c r="G25" s="536"/>
      <c r="H25" s="535">
        <f>E25-D25</f>
        <v>25</v>
      </c>
      <c r="I25" s="496">
        <f>F25-D25</f>
        <v>42</v>
      </c>
      <c r="J25" s="533">
        <f>F25-E25</f>
        <v>17</v>
      </c>
      <c r="K25" s="525">
        <f>IF(F25&lt;L25,J25,L25-E25)</f>
        <v>17</v>
      </c>
      <c r="L25" s="526">
        <v>1997</v>
      </c>
      <c r="M25" s="525">
        <f>IF(F25-L25&gt;0,F25-L25,0)</f>
        <v>0</v>
      </c>
      <c r="N25" s="528">
        <f>40-K25</f>
        <v>23</v>
      </c>
      <c r="O25" s="530">
        <f>S25-L25</f>
        <v>24</v>
      </c>
      <c r="P25" s="532">
        <v>2021</v>
      </c>
      <c r="Q25" s="515">
        <f>P25-D25</f>
        <v>66</v>
      </c>
      <c r="R25" s="517">
        <f>IF(D25&lt;1955,65,66)</f>
        <v>66</v>
      </c>
      <c r="S25" s="496">
        <f>D25+R25</f>
        <v>2021</v>
      </c>
    </row>
    <row r="26" spans="2:19" ht="14" customHeight="1" thickBot="1">
      <c r="B26" s="577"/>
      <c r="C26" s="67"/>
      <c r="D26" s="579"/>
      <c r="E26" s="536"/>
      <c r="F26" s="536"/>
      <c r="G26" s="536"/>
      <c r="H26" s="499"/>
      <c r="I26" s="497"/>
      <c r="J26" s="534"/>
      <c r="K26" s="509"/>
      <c r="L26" s="527"/>
      <c r="M26" s="509"/>
      <c r="N26" s="529"/>
      <c r="O26" s="531"/>
      <c r="P26" s="532"/>
      <c r="Q26" s="516"/>
      <c r="R26" s="518"/>
      <c r="S26" s="497"/>
    </row>
    <row r="27" spans="2:19" ht="16" customHeight="1">
      <c r="B27" s="577"/>
      <c r="C27" s="67"/>
      <c r="D27" s="67"/>
      <c r="E27" s="67"/>
      <c r="F27" s="67"/>
      <c r="G27" s="67"/>
      <c r="H27" s="67"/>
      <c r="I27" s="300"/>
      <c r="J27" s="300"/>
      <c r="K27" s="67"/>
      <c r="L27" s="67"/>
      <c r="M27" s="67"/>
      <c r="N27" s="67"/>
      <c r="O27" s="67"/>
      <c r="P27" s="67"/>
      <c r="Q27" s="67"/>
      <c r="R27" s="67"/>
      <c r="S27" s="148"/>
    </row>
    <row r="28" spans="2:19" ht="17" thickBot="1">
      <c r="B28" s="578"/>
      <c r="C28" s="370"/>
      <c r="D28" s="371"/>
      <c r="E28" s="67"/>
      <c r="F28" s="67"/>
      <c r="G28" s="67"/>
      <c r="H28" s="519" t="s">
        <v>275</v>
      </c>
      <c r="I28" s="519"/>
      <c r="J28" s="519"/>
      <c r="K28" s="457">
        <f>K25/J25</f>
        <v>1</v>
      </c>
      <c r="L28" s="67"/>
      <c r="M28" s="457">
        <f>M25/J25</f>
        <v>0</v>
      </c>
      <c r="N28" s="67"/>
      <c r="O28" s="67"/>
      <c r="P28" s="67"/>
      <c r="Q28" s="67"/>
      <c r="R28" s="67"/>
      <c r="S28" s="148"/>
    </row>
    <row r="29" spans="2:19" ht="16">
      <c r="B29" s="429"/>
      <c r="C29" s="430"/>
      <c r="D29" s="431"/>
      <c r="E29" s="146"/>
      <c r="F29" s="147"/>
      <c r="G29" s="67"/>
      <c r="H29" s="163"/>
      <c r="I29" s="163"/>
      <c r="J29" s="163"/>
      <c r="K29" s="127"/>
      <c r="L29" s="67"/>
      <c r="M29" s="67"/>
      <c r="N29" s="67"/>
      <c r="O29" s="67"/>
      <c r="P29" s="67"/>
      <c r="Q29" s="67"/>
      <c r="R29" s="67"/>
      <c r="S29" s="148"/>
    </row>
    <row r="30" spans="2:19" ht="16">
      <c r="B30" s="432" t="s">
        <v>228</v>
      </c>
      <c r="C30" s="370"/>
      <c r="D30" s="372">
        <f>M25</f>
        <v>0</v>
      </c>
      <c r="E30" s="67"/>
      <c r="F30" s="148"/>
      <c r="G30" s="67"/>
      <c r="H30" s="520" t="s">
        <v>256</v>
      </c>
      <c r="I30" s="521"/>
      <c r="J30" s="67"/>
      <c r="K30" s="67"/>
      <c r="L30" s="67"/>
      <c r="M30" s="524"/>
      <c r="N30" s="524"/>
      <c r="O30" s="524"/>
      <c r="P30" s="67"/>
      <c r="Q30" s="67"/>
      <c r="R30" s="67"/>
      <c r="S30" s="148"/>
    </row>
    <row r="31" spans="2:19" ht="16">
      <c r="B31" s="432" t="s">
        <v>229</v>
      </c>
      <c r="C31" s="370"/>
      <c r="D31" s="372">
        <f>N25</f>
        <v>23</v>
      </c>
      <c r="E31" s="67"/>
      <c r="F31" s="148"/>
      <c r="G31" s="67"/>
      <c r="H31" s="522"/>
      <c r="I31" s="523"/>
      <c r="J31" s="67"/>
      <c r="K31" s="67"/>
      <c r="L31" s="67"/>
      <c r="M31" s="67"/>
      <c r="N31" s="67"/>
      <c r="O31" s="67"/>
      <c r="P31" s="67"/>
      <c r="Q31" s="67"/>
      <c r="R31" s="67"/>
      <c r="S31" s="148"/>
    </row>
    <row r="32" spans="2:19" ht="16">
      <c r="B32" s="432" t="s">
        <v>230</v>
      </c>
      <c r="C32" s="370"/>
      <c r="D32" s="372">
        <f>O25</f>
        <v>24</v>
      </c>
      <c r="E32" s="67"/>
      <c r="F32" s="148"/>
      <c r="G32" s="67"/>
      <c r="H32" s="67"/>
      <c r="I32" s="67"/>
      <c r="J32" s="67"/>
      <c r="K32" s="67"/>
      <c r="L32" s="67"/>
      <c r="M32" s="67"/>
      <c r="N32" s="67"/>
      <c r="O32" s="67"/>
      <c r="P32" s="67"/>
      <c r="Q32" s="67"/>
      <c r="R32" s="67"/>
      <c r="S32" s="148"/>
    </row>
    <row r="33" spans="2:19" ht="102">
      <c r="B33" s="433" t="s">
        <v>231</v>
      </c>
      <c r="C33" s="67"/>
      <c r="D33" s="67"/>
      <c r="E33" s="67"/>
      <c r="F33" s="148"/>
      <c r="G33" s="67"/>
      <c r="H33" s="67"/>
      <c r="I33" s="236" t="s">
        <v>276</v>
      </c>
      <c r="J33" s="371"/>
      <c r="K33" s="165" t="s">
        <v>277</v>
      </c>
      <c r="L33" s="434"/>
      <c r="M33" s="30" t="s">
        <v>278</v>
      </c>
      <c r="N33" s="371"/>
      <c r="O33" s="435" t="s">
        <v>279</v>
      </c>
      <c r="P33" s="67"/>
      <c r="Q33" s="67"/>
      <c r="R33" s="463" t="s">
        <v>284</v>
      </c>
      <c r="S33" s="148"/>
    </row>
    <row r="34" spans="2:19" ht="20">
      <c r="B34" s="378" t="s">
        <v>232</v>
      </c>
      <c r="C34" s="408" t="s">
        <v>233</v>
      </c>
      <c r="D34" s="436">
        <f>D14</f>
        <v>1.3333333333333334E-2</v>
      </c>
      <c r="E34" s="67"/>
      <c r="F34" s="148"/>
      <c r="G34" s="67"/>
      <c r="H34" s="67"/>
      <c r="I34" s="371"/>
      <c r="J34" s="371"/>
      <c r="K34" s="371"/>
      <c r="L34" s="371"/>
      <c r="M34" s="371"/>
      <c r="N34" s="437"/>
      <c r="O34" s="67"/>
      <c r="P34" s="371"/>
      <c r="Q34" s="67"/>
      <c r="R34" s="67"/>
      <c r="S34" s="148"/>
    </row>
    <row r="35" spans="2:19" ht="21" thickBot="1">
      <c r="B35" s="438" t="s">
        <v>234</v>
      </c>
      <c r="C35" s="408" t="s">
        <v>235</v>
      </c>
      <c r="D35" s="373">
        <f>K25</f>
        <v>17</v>
      </c>
      <c r="E35" s="67"/>
      <c r="F35" s="148"/>
      <c r="G35" s="67"/>
      <c r="H35" s="427" t="s">
        <v>47</v>
      </c>
      <c r="I35" s="456">
        <v>15000</v>
      </c>
      <c r="J35" s="187"/>
      <c r="K35" s="439">
        <f>I35*K28</f>
        <v>15000</v>
      </c>
      <c r="L35" s="187"/>
      <c r="M35" s="489">
        <f>I35*M28</f>
        <v>0</v>
      </c>
      <c r="N35" s="371"/>
      <c r="O35" s="67"/>
      <c r="P35" s="371"/>
      <c r="Q35" s="67"/>
      <c r="R35" s="67"/>
      <c r="S35" s="148"/>
    </row>
    <row r="36" spans="2:19" ht="34">
      <c r="B36" s="440" t="s">
        <v>236</v>
      </c>
      <c r="C36" s="408" t="s">
        <v>237</v>
      </c>
      <c r="D36" s="373">
        <f>IF(N25&lt;O25,N25,O25)</f>
        <v>23</v>
      </c>
      <c r="E36" s="67"/>
      <c r="F36" s="148"/>
      <c r="G36" s="67"/>
      <c r="H36" s="67"/>
      <c r="I36" s="371"/>
      <c r="J36" s="371"/>
      <c r="K36" s="490" t="s">
        <v>245</v>
      </c>
      <c r="L36" s="371"/>
      <c r="M36" s="492" t="s">
        <v>245</v>
      </c>
      <c r="N36" s="67"/>
      <c r="O36" s="67"/>
      <c r="P36" s="371"/>
      <c r="Q36" s="67"/>
      <c r="R36" s="67"/>
      <c r="S36" s="148"/>
    </row>
    <row r="37" spans="2:19" ht="20" thickBot="1">
      <c r="B37" s="441" t="s">
        <v>238</v>
      </c>
      <c r="C37" s="442"/>
      <c r="D37" s="374"/>
      <c r="E37" s="67"/>
      <c r="F37" s="148"/>
      <c r="G37" s="67"/>
      <c r="H37" s="67"/>
      <c r="I37" s="67"/>
      <c r="J37" s="67"/>
      <c r="K37" s="491"/>
      <c r="L37" s="67"/>
      <c r="M37" s="493"/>
      <c r="N37" s="67"/>
      <c r="O37" s="67"/>
      <c r="P37" s="67"/>
      <c r="Q37" s="67"/>
      <c r="R37" s="67"/>
      <c r="S37" s="148"/>
    </row>
    <row r="38" spans="2:19" ht="22" thickBot="1">
      <c r="B38" s="443" t="s">
        <v>239</v>
      </c>
      <c r="C38" s="442"/>
      <c r="D38" s="67">
        <f>IF(D30&lt;D32,D30,D32)</f>
        <v>0</v>
      </c>
      <c r="E38" s="67"/>
      <c r="F38" s="148"/>
      <c r="G38" s="67"/>
      <c r="H38" s="67"/>
      <c r="I38" s="67"/>
      <c r="J38" s="67"/>
      <c r="K38" s="376">
        <f>D44</f>
        <v>0</v>
      </c>
      <c r="L38" s="67"/>
      <c r="M38" s="444">
        <f>D8</f>
        <v>0.02</v>
      </c>
      <c r="N38" s="374" t="s">
        <v>281</v>
      </c>
      <c r="O38" s="67"/>
      <c r="P38" s="67"/>
      <c r="Q38" s="67"/>
      <c r="R38" s="460">
        <f>D8</f>
        <v>0.02</v>
      </c>
      <c r="S38" s="148"/>
    </row>
    <row r="39" spans="2:19" ht="34">
      <c r="B39" s="443" t="s">
        <v>280</v>
      </c>
      <c r="C39" s="442"/>
      <c r="D39" s="67">
        <f>IF(D38&lt;N25,D38,N25)</f>
        <v>0</v>
      </c>
      <c r="E39" s="67"/>
      <c r="F39" s="148"/>
      <c r="G39" s="67"/>
      <c r="H39" s="67"/>
      <c r="I39" s="383" t="s">
        <v>282</v>
      </c>
      <c r="J39" s="67"/>
      <c r="K39" s="445">
        <f>K35*K38</f>
        <v>0</v>
      </c>
      <c r="L39" s="67"/>
      <c r="M39" s="446">
        <f>M35*M38</f>
        <v>0</v>
      </c>
      <c r="N39" s="447">
        <f>M39+K39</f>
        <v>0</v>
      </c>
      <c r="O39" s="67"/>
      <c r="P39" s="67"/>
      <c r="Q39" s="67"/>
      <c r="R39" s="461">
        <f>I35*R38</f>
        <v>300</v>
      </c>
      <c r="S39" s="148" t="s">
        <v>285</v>
      </c>
    </row>
    <row r="40" spans="2:19" ht="34">
      <c r="B40" s="440" t="s">
        <v>240</v>
      </c>
      <c r="C40" s="408" t="s">
        <v>241</v>
      </c>
      <c r="D40" s="373">
        <f t="shared" ref="D40" si="0">D39</f>
        <v>0</v>
      </c>
      <c r="E40" s="67"/>
      <c r="F40" s="148"/>
      <c r="G40" s="67"/>
      <c r="H40" s="67"/>
      <c r="I40" s="67"/>
      <c r="J40" s="434"/>
      <c r="K40" s="67"/>
      <c r="L40" s="43"/>
      <c r="M40" s="67"/>
      <c r="N40" s="67"/>
      <c r="O40" s="448">
        <f>I35+M39+K39</f>
        <v>15000</v>
      </c>
      <c r="P40" s="67"/>
      <c r="Q40" s="67"/>
      <c r="R40" s="461">
        <f>I35+R39</f>
        <v>15300</v>
      </c>
      <c r="S40" s="148"/>
    </row>
    <row r="41" spans="2:19" ht="48">
      <c r="B41" s="449" t="s">
        <v>242</v>
      </c>
      <c r="C41" s="450"/>
      <c r="D41" s="374"/>
      <c r="E41" s="67"/>
      <c r="F41" s="148"/>
      <c r="G41" s="67"/>
      <c r="H41" s="67"/>
      <c r="I41" s="67"/>
      <c r="J41" s="67"/>
      <c r="K41" s="67"/>
      <c r="L41" s="67"/>
      <c r="M41" s="67"/>
      <c r="N41" s="67"/>
      <c r="O41" s="67"/>
      <c r="P41" s="67"/>
      <c r="Q41" s="67"/>
      <c r="R41" s="67"/>
      <c r="S41" s="148"/>
    </row>
    <row r="42" spans="2:19" ht="21">
      <c r="B42" s="438" t="s">
        <v>243</v>
      </c>
      <c r="C42" s="408" t="s">
        <v>244</v>
      </c>
      <c r="D42" s="373">
        <f>IF(D35-D36&gt;0,D35-D36,0)</f>
        <v>0</v>
      </c>
      <c r="E42" s="67"/>
      <c r="F42" s="148"/>
      <c r="G42" s="67"/>
      <c r="H42" s="537" t="s">
        <v>286</v>
      </c>
      <c r="I42" s="537"/>
      <c r="J42" s="537"/>
      <c r="K42" s="481" t="s">
        <v>289</v>
      </c>
      <c r="L42" s="111"/>
      <c r="M42" s="67"/>
      <c r="N42" s="67"/>
      <c r="O42" s="67"/>
      <c r="P42" s="67"/>
      <c r="Q42" s="67"/>
      <c r="R42" s="67"/>
      <c r="S42" s="148"/>
    </row>
    <row r="43" spans="2:19" ht="22" thickBot="1">
      <c r="B43" s="451"/>
      <c r="C43" s="143"/>
      <c r="D43" s="67"/>
      <c r="E43" s="67"/>
      <c r="F43" s="148"/>
      <c r="G43" s="67"/>
      <c r="H43" s="537" t="s">
        <v>287</v>
      </c>
      <c r="I43" s="537"/>
      <c r="J43" s="537"/>
      <c r="K43" s="481" t="s">
        <v>290</v>
      </c>
      <c r="L43" s="111"/>
      <c r="M43" s="67"/>
      <c r="N43" s="67"/>
      <c r="O43" s="67"/>
      <c r="P43" s="67"/>
      <c r="Q43" s="67"/>
      <c r="R43" s="67"/>
      <c r="S43" s="148"/>
    </row>
    <row r="44" spans="2:19" ht="27" thickBot="1">
      <c r="B44" s="452" t="s">
        <v>246</v>
      </c>
      <c r="C44" s="375"/>
      <c r="D44" s="462">
        <f>((D42+((D35-D42)*(D40/D36)))/D35)*D34</f>
        <v>0</v>
      </c>
      <c r="E44" s="67"/>
      <c r="F44" s="148"/>
      <c r="G44" s="67"/>
      <c r="H44" s="537" t="s">
        <v>288</v>
      </c>
      <c r="I44" s="537"/>
      <c r="J44" s="537"/>
      <c r="K44" s="481" t="s">
        <v>291</v>
      </c>
      <c r="L44" s="453"/>
      <c r="M44" s="67"/>
      <c r="N44" s="67"/>
      <c r="O44" s="67"/>
      <c r="P44" s="67"/>
      <c r="Q44" s="67"/>
      <c r="R44" s="67"/>
      <c r="S44" s="148"/>
    </row>
    <row r="45" spans="2:19" ht="16" thickBot="1">
      <c r="B45" s="388"/>
      <c r="C45" s="152"/>
      <c r="D45" s="152"/>
      <c r="E45" s="152"/>
      <c r="F45" s="153"/>
      <c r="G45" s="67"/>
      <c r="H45" s="67"/>
      <c r="I45" s="67"/>
      <c r="J45" s="67"/>
      <c r="K45" s="67"/>
      <c r="L45" s="67"/>
      <c r="M45" s="67"/>
      <c r="N45" s="67"/>
      <c r="O45" s="67"/>
      <c r="P45" s="67"/>
      <c r="Q45" s="67"/>
      <c r="R45" s="67"/>
      <c r="S45" s="148"/>
    </row>
    <row r="46" spans="2:19" ht="21">
      <c r="B46" s="454" t="s">
        <v>247</v>
      </c>
      <c r="C46" s="67"/>
      <c r="D46" s="455">
        <f>K38/D14</f>
        <v>0</v>
      </c>
      <c r="E46" s="565" t="s">
        <v>311</v>
      </c>
      <c r="F46" s="565"/>
      <c r="G46" s="67"/>
      <c r="H46" s="67"/>
      <c r="I46" s="67"/>
      <c r="J46" s="67"/>
      <c r="K46" s="67"/>
      <c r="L46" s="374"/>
      <c r="M46" s="67"/>
      <c r="N46" s="371"/>
      <c r="O46" s="371"/>
      <c r="P46" s="371"/>
      <c r="Q46" s="67"/>
      <c r="R46" s="67"/>
      <c r="S46" s="148"/>
    </row>
    <row r="47" spans="2:19" ht="16" thickBot="1">
      <c r="B47" s="388"/>
      <c r="C47" s="152"/>
      <c r="D47" s="152"/>
      <c r="E47" s="566"/>
      <c r="F47" s="566"/>
      <c r="G47" s="152"/>
      <c r="H47" s="152"/>
      <c r="I47" s="152"/>
      <c r="J47" s="152"/>
      <c r="K47" s="152"/>
      <c r="L47" s="152"/>
      <c r="M47" s="152"/>
      <c r="N47" s="152"/>
      <c r="O47" s="152"/>
      <c r="P47" s="152"/>
      <c r="Q47" s="152"/>
      <c r="R47" s="152"/>
      <c r="S47" s="153"/>
    </row>
  </sheetData>
  <mergeCells count="60">
    <mergeCell ref="E46:F47"/>
    <mergeCell ref="B10:D10"/>
    <mergeCell ref="B11:C11"/>
    <mergeCell ref="B12:C12"/>
    <mergeCell ref="B14:C14"/>
    <mergeCell ref="B25:B28"/>
    <mergeCell ref="D25:D26"/>
    <mergeCell ref="E25:E26"/>
    <mergeCell ref="F25:F26"/>
    <mergeCell ref="B2:S2"/>
    <mergeCell ref="B4:D4"/>
    <mergeCell ref="B8:C8"/>
    <mergeCell ref="H8:H9"/>
    <mergeCell ref="I8:S9"/>
    <mergeCell ref="H4:S6"/>
    <mergeCell ref="H42:J42"/>
    <mergeCell ref="H43:J43"/>
    <mergeCell ref="H44:J44"/>
    <mergeCell ref="G22:G23"/>
    <mergeCell ref="B16:D18"/>
    <mergeCell ref="H16:S18"/>
    <mergeCell ref="H20:O21"/>
    <mergeCell ref="Q20:Q21"/>
    <mergeCell ref="R20:R21"/>
    <mergeCell ref="S20:S21"/>
    <mergeCell ref="D22:D23"/>
    <mergeCell ref="E22:E23"/>
    <mergeCell ref="F22:F23"/>
    <mergeCell ref="H22:H23"/>
    <mergeCell ref="I22:I23"/>
    <mergeCell ref="D20:G21"/>
    <mergeCell ref="P25:P26"/>
    <mergeCell ref="I25:I26"/>
    <mergeCell ref="J25:J26"/>
    <mergeCell ref="H25:H26"/>
    <mergeCell ref="G25:G26"/>
    <mergeCell ref="H28:J28"/>
    <mergeCell ref="H30:I31"/>
    <mergeCell ref="M30:O30"/>
    <mergeCell ref="K25:K26"/>
    <mergeCell ref="L25:L26"/>
    <mergeCell ref="M25:M26"/>
    <mergeCell ref="N25:N26"/>
    <mergeCell ref="O25:O26"/>
    <mergeCell ref="K36:K37"/>
    <mergeCell ref="M36:M37"/>
    <mergeCell ref="H13:S14"/>
    <mergeCell ref="S25:S26"/>
    <mergeCell ref="Q22:Q23"/>
    <mergeCell ref="R22:R23"/>
    <mergeCell ref="S22:S23"/>
    <mergeCell ref="K22:K23"/>
    <mergeCell ref="L22:L23"/>
    <mergeCell ref="M22:M23"/>
    <mergeCell ref="N22:N23"/>
    <mergeCell ref="O22:O23"/>
    <mergeCell ref="P22:P23"/>
    <mergeCell ref="J22:J23"/>
    <mergeCell ref="Q25:Q26"/>
    <mergeCell ref="R25:R26"/>
  </mergeCells>
  <conditionalFormatting sqref="D44">
    <cfRule type="cellIs" dxfId="149" priority="4" operator="equal">
      <formula>0</formula>
    </cfRule>
    <cfRule type="cellIs" dxfId="148" priority="5" operator="greaterThan">
      <formula>0</formula>
    </cfRule>
  </conditionalFormatting>
  <conditionalFormatting sqref="K38">
    <cfRule type="cellIs" dxfId="147" priority="1" operator="equal">
      <formula>0</formula>
    </cfRule>
    <cfRule type="cellIs" dxfId="146" priority="2" operator="greaterThan">
      <formula>0</formula>
    </cfRule>
    <cfRule type="cellIs" dxfId="145" priority="3" operator="greaterThan">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1E05-682C-624A-A3F7-10A3E06DCC3E}">
  <dimension ref="A1:AK156"/>
  <sheetViews>
    <sheetView zoomScale="90" zoomScaleNormal="90" workbookViewId="0">
      <selection activeCell="T12" sqref="T12"/>
    </sheetView>
  </sheetViews>
  <sheetFormatPr baseColWidth="10" defaultRowHeight="15"/>
  <cols>
    <col min="1" max="1" width="2.83203125" customWidth="1"/>
    <col min="2" max="2" width="11.1640625" customWidth="1"/>
    <col min="3" max="3" width="12.5" customWidth="1"/>
    <col min="4" max="4" width="12" customWidth="1"/>
    <col min="5" max="5" width="12.6640625" customWidth="1"/>
    <col min="6" max="6" width="15.83203125" customWidth="1"/>
    <col min="7" max="8" width="12.6640625" customWidth="1"/>
    <col min="9" max="9" width="13.33203125" customWidth="1"/>
    <col min="10" max="10" width="15.6640625" customWidth="1"/>
    <col min="11" max="11" width="14.6640625" customWidth="1"/>
    <col min="12" max="12" width="12" customWidth="1"/>
    <col min="13" max="13" width="13.83203125" customWidth="1"/>
    <col min="14" max="14" width="13.6640625" customWidth="1"/>
    <col min="15" max="15" width="15.6640625" customWidth="1"/>
    <col min="16" max="16" width="12.6640625" customWidth="1"/>
    <col min="17" max="17" width="13.1640625" customWidth="1"/>
    <col min="18" max="18" width="12" customWidth="1"/>
    <col min="19" max="19" width="15" bestFit="1" customWidth="1"/>
    <col min="20" max="20" width="13.1640625" customWidth="1"/>
    <col min="21" max="21" width="12.1640625" customWidth="1"/>
    <col min="22" max="22" width="12.83203125" customWidth="1"/>
    <col min="23" max="23" width="11.1640625" customWidth="1"/>
    <col min="24" max="24" width="13.6640625" bestFit="1" customWidth="1"/>
    <col min="25" max="25" width="12.33203125" customWidth="1"/>
    <col min="27" max="27" width="17.6640625" customWidth="1"/>
    <col min="30" max="30" width="11.6640625" bestFit="1" customWidth="1"/>
    <col min="33" max="33" width="12.5" customWidth="1"/>
  </cols>
  <sheetData>
    <row r="1" spans="1:37" ht="16" thickBot="1"/>
    <row r="2" spans="1:37" ht="32" customHeight="1" thickBot="1">
      <c r="B2" s="634" t="s">
        <v>264</v>
      </c>
      <c r="C2" s="635"/>
      <c r="D2" s="635"/>
      <c r="E2" s="635"/>
      <c r="F2" s="635"/>
      <c r="G2" s="635"/>
      <c r="H2" s="635"/>
      <c r="I2" s="635"/>
      <c r="J2" s="635"/>
      <c r="K2" s="635"/>
      <c r="L2" s="635"/>
      <c r="M2" s="635"/>
      <c r="N2" s="635"/>
      <c r="O2" s="635"/>
      <c r="P2" s="635"/>
      <c r="Q2" s="635"/>
      <c r="R2" s="635"/>
      <c r="S2" s="635"/>
      <c r="T2" s="635"/>
      <c r="U2" s="636"/>
      <c r="W2" s="203"/>
      <c r="X2" s="203"/>
      <c r="Y2" s="203"/>
      <c r="Z2" s="203"/>
      <c r="AA2" s="203"/>
      <c r="AB2" s="203"/>
      <c r="AC2" s="203"/>
      <c r="AD2" s="203"/>
      <c r="AE2" s="203"/>
      <c r="AF2" s="203"/>
      <c r="AG2" s="203"/>
      <c r="AH2" s="203"/>
      <c r="AI2" s="203"/>
      <c r="AJ2" s="203"/>
      <c r="AK2" s="203"/>
    </row>
    <row r="3" spans="1:37" ht="17" customHeight="1">
      <c r="B3" s="145"/>
      <c r="C3" s="146"/>
      <c r="D3" s="146"/>
      <c r="E3" s="146"/>
      <c r="F3" s="146"/>
      <c r="G3" s="146"/>
      <c r="H3" s="146"/>
      <c r="I3" s="146"/>
      <c r="J3" s="146"/>
      <c r="K3" s="146"/>
      <c r="L3" s="146"/>
      <c r="M3" s="146"/>
      <c r="N3" s="146"/>
      <c r="O3" s="146"/>
      <c r="P3" s="146"/>
      <c r="Q3" s="146"/>
      <c r="R3" s="146"/>
      <c r="S3" s="146"/>
      <c r="T3" s="146"/>
      <c r="U3" s="147"/>
      <c r="V3" s="67"/>
    </row>
    <row r="4" spans="1:37" ht="31" customHeight="1">
      <c r="B4" s="151"/>
      <c r="C4" s="643" t="s">
        <v>307</v>
      </c>
      <c r="D4" s="643"/>
      <c r="E4" s="643"/>
      <c r="F4" s="643"/>
      <c r="G4" s="643"/>
      <c r="H4" s="643"/>
      <c r="I4" s="643"/>
      <c r="J4" s="643"/>
      <c r="K4" s="643"/>
      <c r="L4" s="643"/>
      <c r="M4" s="643"/>
      <c r="N4" s="643"/>
      <c r="O4" s="643"/>
      <c r="P4" s="643"/>
      <c r="Q4" s="643"/>
      <c r="R4" s="643"/>
      <c r="S4" s="644"/>
      <c r="T4" s="67"/>
      <c r="U4" s="148"/>
      <c r="V4" s="67"/>
    </row>
    <row r="5" spans="1:37" ht="13" customHeight="1">
      <c r="B5" s="151"/>
      <c r="C5" s="67"/>
      <c r="D5" s="67"/>
      <c r="E5" s="67"/>
      <c r="F5" s="67"/>
      <c r="G5" s="67"/>
      <c r="T5" s="67"/>
      <c r="U5" s="148"/>
      <c r="V5" s="67"/>
    </row>
    <row r="6" spans="1:37" ht="29">
      <c r="A6" s="37"/>
      <c r="B6" s="640" t="s">
        <v>61</v>
      </c>
      <c r="C6" s="641"/>
      <c r="D6" s="641"/>
      <c r="E6" s="641"/>
      <c r="F6" s="641"/>
      <c r="G6" s="641"/>
      <c r="H6" s="642"/>
      <c r="I6" s="642"/>
      <c r="J6" s="642"/>
      <c r="K6" s="642"/>
      <c r="L6" s="67"/>
      <c r="M6" s="637" t="s">
        <v>78</v>
      </c>
      <c r="N6" s="638"/>
      <c r="O6" s="638"/>
      <c r="P6" s="639"/>
      <c r="Q6" s="336" t="s">
        <v>81</v>
      </c>
      <c r="R6" s="336">
        <v>2021</v>
      </c>
      <c r="S6" s="67"/>
      <c r="T6" s="67"/>
      <c r="U6" s="148"/>
      <c r="V6" s="67"/>
    </row>
    <row r="7" spans="1:37" ht="20" thickBot="1">
      <c r="A7" s="37"/>
      <c r="B7" s="149"/>
      <c r="C7" s="144"/>
      <c r="D7" s="144"/>
      <c r="E7" s="144"/>
      <c r="F7" s="142"/>
      <c r="G7" s="142"/>
      <c r="H7" s="142"/>
      <c r="I7" s="142"/>
      <c r="J7" s="143"/>
      <c r="K7" s="143"/>
      <c r="L7" s="67"/>
      <c r="M7" s="144"/>
      <c r="N7" s="67"/>
      <c r="O7" s="67"/>
      <c r="P7" s="67"/>
      <c r="Q7" s="67"/>
      <c r="R7" s="67"/>
      <c r="S7" s="67"/>
      <c r="T7" s="67"/>
      <c r="U7" s="148"/>
      <c r="V7" s="67"/>
    </row>
    <row r="8" spans="1:37" ht="20" thickBot="1">
      <c r="A8" s="37"/>
      <c r="B8" s="580" t="s">
        <v>304</v>
      </c>
      <c r="C8" s="581"/>
      <c r="D8" s="581"/>
      <c r="E8" s="581"/>
      <c r="F8" s="581"/>
      <c r="G8" s="581"/>
      <c r="H8" s="582"/>
      <c r="I8" s="582"/>
      <c r="J8" s="582"/>
      <c r="K8" s="582"/>
      <c r="L8" s="337" t="s">
        <v>47</v>
      </c>
      <c r="M8" s="235">
        <v>1955</v>
      </c>
      <c r="N8" s="67"/>
      <c r="O8" s="67"/>
      <c r="P8" s="67"/>
      <c r="Q8" s="67"/>
      <c r="R8" s="67"/>
      <c r="S8" s="67"/>
      <c r="T8" s="67"/>
      <c r="U8" s="148"/>
      <c r="V8" s="67"/>
    </row>
    <row r="9" spans="1:37" ht="20" thickBot="1">
      <c r="A9" s="37"/>
      <c r="B9" s="580" t="s">
        <v>305</v>
      </c>
      <c r="C9" s="581"/>
      <c r="D9" s="581"/>
      <c r="E9" s="581"/>
      <c r="F9" s="581"/>
      <c r="G9" s="581"/>
      <c r="H9" s="582"/>
      <c r="I9" s="582"/>
      <c r="J9" s="582"/>
      <c r="K9" s="582"/>
      <c r="L9" s="337" t="s">
        <v>47</v>
      </c>
      <c r="M9" s="235">
        <v>1980</v>
      </c>
      <c r="N9" s="205" t="s">
        <v>92</v>
      </c>
      <c r="O9" s="589" t="s">
        <v>59</v>
      </c>
      <c r="P9" s="590"/>
      <c r="Q9" s="246">
        <f>'DETAILED MODELLER - PERSON 1'!F51</f>
        <v>17</v>
      </c>
      <c r="R9" s="141">
        <f>'DETAILED MODELLER - PERSON 1'!G51</f>
        <v>0.89473684210526316</v>
      </c>
      <c r="S9" s="67"/>
      <c r="T9" s="67"/>
      <c r="U9" s="148"/>
      <c r="V9" s="67"/>
    </row>
    <row r="10" spans="1:37" ht="20" thickBot="1">
      <c r="A10" s="37"/>
      <c r="B10" s="580" t="s">
        <v>306</v>
      </c>
      <c r="C10" s="581"/>
      <c r="D10" s="581"/>
      <c r="E10" s="581"/>
      <c r="F10" s="581"/>
      <c r="G10" s="581"/>
      <c r="H10" s="582"/>
      <c r="I10" s="582"/>
      <c r="J10" s="582"/>
      <c r="K10" s="582"/>
      <c r="L10" s="337" t="s">
        <v>47</v>
      </c>
      <c r="M10" s="235">
        <v>1999</v>
      </c>
      <c r="N10" s="205" t="s">
        <v>93</v>
      </c>
      <c r="O10" s="589" t="s">
        <v>60</v>
      </c>
      <c r="P10" s="590"/>
      <c r="Q10" s="246">
        <f>'DETAILED MODELLER - PERSON 1'!F52</f>
        <v>2</v>
      </c>
      <c r="R10" s="141">
        <f>'DETAILED MODELLER - PERSON 1'!G52</f>
        <v>0.10526315789473684</v>
      </c>
      <c r="S10" s="67"/>
      <c r="T10" s="67"/>
      <c r="U10" s="148"/>
      <c r="V10" s="67"/>
    </row>
    <row r="11" spans="1:37" ht="20" thickBot="1">
      <c r="A11" s="37"/>
      <c r="B11" s="151"/>
      <c r="C11" s="144"/>
      <c r="D11" s="144"/>
      <c r="E11" s="144"/>
      <c r="F11" s="67"/>
      <c r="G11" s="67"/>
      <c r="H11" s="67"/>
      <c r="I11" s="67"/>
      <c r="J11" s="67"/>
      <c r="K11" s="67"/>
      <c r="L11" s="143"/>
      <c r="M11" s="163"/>
      <c r="N11" s="67"/>
      <c r="O11" s="589" t="s">
        <v>77</v>
      </c>
      <c r="P11" s="590"/>
      <c r="Q11" s="246">
        <f>'DETAILED MODELLER - PERSON 1'!D53</f>
        <v>19</v>
      </c>
      <c r="R11" s="67"/>
      <c r="S11" s="67"/>
      <c r="T11" s="67"/>
      <c r="U11" s="148"/>
      <c r="V11" s="67"/>
    </row>
    <row r="12" spans="1:37" ht="20" thickBot="1">
      <c r="A12" s="37"/>
      <c r="B12" s="580" t="s">
        <v>316</v>
      </c>
      <c r="C12" s="581"/>
      <c r="D12" s="581"/>
      <c r="E12" s="581"/>
      <c r="F12" s="581"/>
      <c r="G12" s="581"/>
      <c r="H12" s="582"/>
      <c r="I12" s="582"/>
      <c r="J12" s="582"/>
      <c r="K12" s="582"/>
      <c r="L12" s="337" t="s">
        <v>47</v>
      </c>
      <c r="M12" s="235">
        <v>2017</v>
      </c>
      <c r="N12" s="205" t="s">
        <v>134</v>
      </c>
      <c r="O12" s="589" t="s">
        <v>79</v>
      </c>
      <c r="P12" s="590"/>
      <c r="Q12" s="246">
        <f>R6-M12</f>
        <v>4</v>
      </c>
      <c r="R12" s="67"/>
      <c r="S12" s="67"/>
      <c r="T12" s="67"/>
      <c r="U12" s="148"/>
      <c r="V12" s="67"/>
    </row>
    <row r="13" spans="1:37" ht="20" thickBot="1">
      <c r="A13" s="37"/>
      <c r="B13" s="583" t="s">
        <v>315</v>
      </c>
      <c r="C13" s="584"/>
      <c r="D13" s="584"/>
      <c r="E13" s="584"/>
      <c r="F13" s="584"/>
      <c r="G13" s="584"/>
      <c r="H13" s="585"/>
      <c r="I13" s="585"/>
      <c r="J13" s="585"/>
      <c r="K13" s="585"/>
      <c r="L13" s="486"/>
      <c r="M13" s="487">
        <f>M12-M8</f>
        <v>62</v>
      </c>
      <c r="N13" s="67"/>
      <c r="O13" s="589" t="s">
        <v>35</v>
      </c>
      <c r="P13" s="590"/>
      <c r="Q13" s="246">
        <f>M13+Q12</f>
        <v>66</v>
      </c>
      <c r="R13" s="67" t="s">
        <v>193</v>
      </c>
      <c r="S13" s="67"/>
      <c r="T13" s="67"/>
      <c r="U13" s="148"/>
      <c r="V13" s="67"/>
    </row>
    <row r="14" spans="1:37" ht="20" thickBot="1">
      <c r="A14" s="37"/>
      <c r="B14" s="149"/>
      <c r="C14" s="144"/>
      <c r="D14" s="144"/>
      <c r="E14" s="144"/>
      <c r="F14" s="142"/>
      <c r="G14" s="142"/>
      <c r="H14" s="598" t="str">
        <f>IF(M12&lt;M10,"PLEASE DOUBLE-CHECK DATES ENTERED"," ")</f>
        <v xml:space="preserve"> </v>
      </c>
      <c r="I14" s="598"/>
      <c r="J14" s="598"/>
      <c r="K14" s="598"/>
      <c r="L14" s="143"/>
      <c r="M14" s="464" t="str">
        <f>IF(M12&lt;M10,"????????"," ")</f>
        <v xml:space="preserve"> </v>
      </c>
      <c r="N14" s="480"/>
      <c r="O14" s="480"/>
      <c r="P14" s="480"/>
      <c r="Q14" s="67"/>
      <c r="R14" s="67"/>
      <c r="S14" s="67"/>
      <c r="T14" s="67"/>
      <c r="U14" s="148"/>
      <c r="V14" s="67"/>
    </row>
    <row r="15" spans="1:37" ht="22" thickBot="1">
      <c r="A15" s="37"/>
      <c r="B15" s="580" t="s">
        <v>314</v>
      </c>
      <c r="C15" s="582"/>
      <c r="D15" s="582"/>
      <c r="E15" s="582"/>
      <c r="F15" s="582"/>
      <c r="G15" s="582"/>
      <c r="H15" s="582"/>
      <c r="I15" s="582"/>
      <c r="J15" s="582"/>
      <c r="K15" s="582"/>
      <c r="L15" s="337" t="s">
        <v>47</v>
      </c>
      <c r="M15" s="479">
        <v>15000</v>
      </c>
      <c r="N15" s="645" t="s">
        <v>173</v>
      </c>
      <c r="O15" s="645"/>
      <c r="P15" s="645"/>
      <c r="Q15" s="645"/>
      <c r="R15" s="645"/>
      <c r="S15" s="645"/>
      <c r="T15" s="67"/>
      <c r="U15" s="148"/>
      <c r="V15" s="67"/>
    </row>
    <row r="16" spans="1:37" ht="19">
      <c r="A16" s="37"/>
      <c r="B16" s="206" t="s">
        <v>86</v>
      </c>
      <c r="C16" s="339" t="s">
        <v>132</v>
      </c>
      <c r="D16" s="67"/>
      <c r="E16" s="67"/>
      <c r="F16" s="67"/>
      <c r="G16" s="67"/>
      <c r="H16" s="67"/>
      <c r="I16" s="67"/>
      <c r="J16" s="67"/>
      <c r="K16" s="67"/>
      <c r="L16" s="67"/>
      <c r="M16" s="67"/>
      <c r="N16" s="335"/>
      <c r="O16" s="335"/>
      <c r="P16" s="335"/>
      <c r="Q16" s="335"/>
      <c r="R16" s="335"/>
      <c r="S16" s="67"/>
      <c r="T16" s="67"/>
      <c r="U16" s="148"/>
      <c r="V16" s="67"/>
    </row>
    <row r="17" spans="1:23" ht="19">
      <c r="A17" s="37"/>
      <c r="B17" s="220">
        <v>1</v>
      </c>
      <c r="C17" s="591" t="s">
        <v>248</v>
      </c>
      <c r="D17" s="592"/>
      <c r="E17" s="592"/>
      <c r="F17" s="592"/>
      <c r="G17" s="592"/>
      <c r="H17" s="592"/>
      <c r="I17" s="593"/>
      <c r="J17" s="218">
        <f>'DETAILED MODELLER - PERSON 1'!H51</f>
        <v>13421.052631578947</v>
      </c>
      <c r="K17" s="219">
        <f>R9</f>
        <v>0.89473684210526316</v>
      </c>
      <c r="L17" s="67"/>
      <c r="M17" s="591" t="s">
        <v>100</v>
      </c>
      <c r="N17" s="592"/>
      <c r="O17" s="592"/>
      <c r="P17" s="592"/>
      <c r="Q17" s="592"/>
      <c r="R17" s="592"/>
      <c r="S17" s="593"/>
      <c r="T17" s="245">
        <f>M12</f>
        <v>2017</v>
      </c>
      <c r="U17" s="148"/>
      <c r="V17" s="67"/>
    </row>
    <row r="18" spans="1:23" ht="19">
      <c r="A18" s="37"/>
      <c r="B18" s="220">
        <v>2</v>
      </c>
      <c r="C18" s="591" t="s">
        <v>91</v>
      </c>
      <c r="D18" s="592"/>
      <c r="E18" s="592"/>
      <c r="F18" s="592"/>
      <c r="G18" s="592"/>
      <c r="H18" s="592"/>
      <c r="I18" s="593"/>
      <c r="J18" s="218">
        <f>'DETAILED MODELLER - PERSON 1'!H52</f>
        <v>1578.9473684210525</v>
      </c>
      <c r="K18" s="219">
        <f>R10</f>
        <v>0.10526315789473684</v>
      </c>
      <c r="L18" s="67"/>
      <c r="M18" s="599" t="s">
        <v>172</v>
      </c>
      <c r="N18" s="599"/>
      <c r="O18" s="599"/>
      <c r="P18" s="599"/>
      <c r="Q18" s="599"/>
      <c r="R18" s="599"/>
      <c r="S18" s="599"/>
      <c r="T18" s="599"/>
      <c r="U18" s="148"/>
      <c r="V18" s="67"/>
    </row>
    <row r="19" spans="1:23" ht="19">
      <c r="A19" s="37"/>
      <c r="B19" s="220">
        <v>3</v>
      </c>
      <c r="C19" s="595" t="s">
        <v>297</v>
      </c>
      <c r="D19" s="596"/>
      <c r="E19" s="596"/>
      <c r="F19" s="596"/>
      <c r="G19" s="596"/>
      <c r="H19" s="596"/>
      <c r="I19" s="597"/>
      <c r="J19" s="377"/>
      <c r="K19" s="377"/>
      <c r="L19" s="67"/>
      <c r="M19" s="67"/>
      <c r="N19" s="67"/>
      <c r="O19" s="67"/>
      <c r="P19" s="67"/>
      <c r="Q19" s="67"/>
      <c r="R19" s="67"/>
      <c r="S19" s="67"/>
      <c r="T19" s="67"/>
      <c r="U19" s="148"/>
      <c r="V19" s="67"/>
    </row>
    <row r="20" spans="1:23" ht="19" customHeight="1">
      <c r="A20" s="37"/>
      <c r="B20" s="206"/>
      <c r="C20" s="544" t="s">
        <v>317</v>
      </c>
      <c r="D20" s="544"/>
      <c r="E20" s="544"/>
      <c r="F20" s="544"/>
      <c r="G20" s="544"/>
      <c r="H20" s="544"/>
      <c r="I20" s="544"/>
      <c r="J20" s="544"/>
      <c r="K20" s="544"/>
      <c r="L20" s="67"/>
      <c r="M20" s="646" t="s">
        <v>294</v>
      </c>
      <c r="N20" s="646"/>
      <c r="O20" s="646"/>
      <c r="P20" s="646"/>
      <c r="Q20" s="646"/>
      <c r="R20" s="646"/>
      <c r="S20" s="646"/>
      <c r="T20" s="646"/>
      <c r="U20" s="148"/>
      <c r="V20" s="67"/>
    </row>
    <row r="21" spans="1:23" ht="19" customHeight="1">
      <c r="A21" s="37"/>
      <c r="B21" s="150"/>
      <c r="C21" s="544"/>
      <c r="D21" s="544"/>
      <c r="E21" s="544"/>
      <c r="F21" s="544"/>
      <c r="G21" s="544"/>
      <c r="H21" s="544"/>
      <c r="I21" s="544"/>
      <c r="J21" s="544"/>
      <c r="K21" s="544"/>
      <c r="L21" s="67"/>
      <c r="M21" s="646"/>
      <c r="N21" s="646"/>
      <c r="O21" s="646"/>
      <c r="P21" s="646"/>
      <c r="Q21" s="646"/>
      <c r="R21" s="646"/>
      <c r="S21" s="646"/>
      <c r="T21" s="646"/>
      <c r="U21" s="148"/>
      <c r="V21" s="67"/>
    </row>
    <row r="22" spans="1:23" ht="36" customHeight="1" thickBot="1">
      <c r="A22" s="37"/>
      <c r="B22" s="221"/>
      <c r="C22" s="594"/>
      <c r="D22" s="594"/>
      <c r="E22" s="594"/>
      <c r="F22" s="594"/>
      <c r="G22" s="594"/>
      <c r="H22" s="594"/>
      <c r="I22" s="594"/>
      <c r="J22" s="594"/>
      <c r="K22" s="594"/>
      <c r="L22" s="152"/>
      <c r="M22" s="501"/>
      <c r="N22" s="501"/>
      <c r="O22" s="501"/>
      <c r="P22" s="501"/>
      <c r="Q22" s="501"/>
      <c r="R22" s="501"/>
      <c r="S22" s="501"/>
      <c r="T22" s="501"/>
      <c r="U22" s="153"/>
      <c r="V22" s="67"/>
    </row>
    <row r="23" spans="1:23" ht="25" thickBot="1">
      <c r="A23" s="37"/>
      <c r="B23" s="586" t="s">
        <v>178</v>
      </c>
      <c r="C23" s="587"/>
      <c r="D23" s="587"/>
      <c r="E23" s="587"/>
      <c r="F23" s="587"/>
      <c r="G23" s="587"/>
      <c r="H23" s="587"/>
      <c r="I23" s="587"/>
      <c r="J23" s="587"/>
      <c r="K23" s="587"/>
      <c r="L23" s="587"/>
      <c r="M23" s="587"/>
      <c r="N23" s="587"/>
      <c r="O23" s="587"/>
      <c r="P23" s="587"/>
      <c r="Q23" s="587"/>
      <c r="R23" s="587"/>
      <c r="S23" s="587"/>
      <c r="T23" s="587"/>
      <c r="U23" s="588"/>
      <c r="V23" s="67"/>
    </row>
    <row r="24" spans="1:23" ht="24" customHeight="1">
      <c r="A24" s="37"/>
      <c r="B24" s="647" t="s">
        <v>309</v>
      </c>
      <c r="C24" s="647"/>
      <c r="D24" s="647"/>
      <c r="E24" s="647"/>
      <c r="F24" s="647"/>
      <c r="G24" s="647"/>
      <c r="H24" s="647"/>
      <c r="I24" s="647"/>
      <c r="J24" s="647"/>
      <c r="K24" s="647"/>
      <c r="L24" s="67"/>
      <c r="M24" s="43"/>
      <c r="N24" s="651" t="s">
        <v>313</v>
      </c>
      <c r="O24" s="651"/>
      <c r="P24" s="651"/>
      <c r="Q24" s="651"/>
      <c r="R24" s="651"/>
      <c r="S24" s="651"/>
      <c r="T24" s="651"/>
      <c r="U24" s="652"/>
      <c r="V24" s="67"/>
    </row>
    <row r="25" spans="1:23" ht="28" customHeight="1">
      <c r="B25" s="648" t="s">
        <v>180</v>
      </c>
      <c r="C25" s="649"/>
      <c r="D25" s="649"/>
      <c r="E25" s="649"/>
      <c r="F25" s="649"/>
      <c r="G25" s="649"/>
      <c r="H25" s="650"/>
      <c r="I25" s="650"/>
      <c r="J25" s="650"/>
      <c r="K25" s="650"/>
      <c r="L25" s="340" t="s">
        <v>80</v>
      </c>
      <c r="M25" s="353">
        <f>IF(ISERROR(VLOOKUP('DETAILED MODELLER - PERSON 1'!V6,'DETAILED MODELLER - PERSON 1'!C64:E93,2,FALSE)),"NOT FOUND",VLOOKUP('DETAILED MODELLER - PERSON 1'!V6,'DETAILED MODELLER - PERSON 1'!C64:E93,3,FALSE))*1000</f>
        <v>15328.774972122224</v>
      </c>
      <c r="N25" s="653"/>
      <c r="O25" s="653"/>
      <c r="P25" s="653"/>
      <c r="Q25" s="653"/>
      <c r="R25" s="653"/>
      <c r="S25" s="653"/>
      <c r="T25" s="653"/>
      <c r="U25" s="654"/>
      <c r="V25" s="67"/>
    </row>
    <row r="26" spans="1:23" ht="30" customHeight="1" thickBot="1">
      <c r="B26" s="151"/>
      <c r="C26" s="67"/>
      <c r="D26" s="67"/>
      <c r="E26" s="67"/>
      <c r="F26" s="67"/>
      <c r="G26" s="67"/>
      <c r="H26" s="67"/>
      <c r="I26" s="67"/>
      <c r="J26" s="67"/>
      <c r="K26" s="67"/>
      <c r="L26" s="67"/>
      <c r="M26" s="67"/>
      <c r="N26" s="655"/>
      <c r="O26" s="655"/>
      <c r="P26" s="655"/>
      <c r="Q26" s="655"/>
      <c r="R26" s="655"/>
      <c r="S26" s="655"/>
      <c r="T26" s="655"/>
      <c r="U26" s="656"/>
      <c r="V26" s="67"/>
    </row>
    <row r="27" spans="1:23" ht="27" customHeight="1" thickBot="1">
      <c r="B27" s="586" t="s">
        <v>197</v>
      </c>
      <c r="C27" s="587"/>
      <c r="D27" s="587"/>
      <c r="E27" s="587"/>
      <c r="F27" s="587"/>
      <c r="G27" s="587"/>
      <c r="H27" s="587"/>
      <c r="I27" s="587"/>
      <c r="J27" s="587"/>
      <c r="K27" s="587"/>
      <c r="L27" s="587"/>
      <c r="M27" s="587"/>
      <c r="N27" s="587"/>
      <c r="O27" s="587"/>
      <c r="P27" s="587"/>
      <c r="Q27" s="587"/>
      <c r="R27" s="587"/>
      <c r="S27" s="587"/>
      <c r="T27" s="587"/>
      <c r="U27" s="588"/>
      <c r="V27" s="67"/>
    </row>
    <row r="28" spans="1:23" ht="23" customHeight="1">
      <c r="B28" s="145"/>
      <c r="C28" s="146"/>
      <c r="D28" s="146"/>
      <c r="E28" s="146"/>
      <c r="F28" s="146"/>
      <c r="G28" s="146"/>
      <c r="H28" s="146"/>
      <c r="I28" s="146"/>
      <c r="J28" s="146"/>
      <c r="K28" s="146"/>
      <c r="L28" s="146"/>
      <c r="M28" s="146"/>
      <c r="N28" s="146"/>
      <c r="O28" s="146"/>
      <c r="P28" s="146"/>
      <c r="Q28" s="146"/>
      <c r="R28" s="346"/>
      <c r="S28" s="146"/>
      <c r="T28" s="146"/>
      <c r="U28" s="147"/>
      <c r="V28" s="67"/>
    </row>
    <row r="29" spans="1:23" ht="32" customHeight="1">
      <c r="B29" s="657" t="s">
        <v>174</v>
      </c>
      <c r="C29" s="658"/>
      <c r="D29" s="658"/>
      <c r="E29" s="658"/>
      <c r="F29" s="658"/>
      <c r="G29" s="658"/>
      <c r="H29" s="658"/>
      <c r="I29" s="658"/>
      <c r="J29" s="658"/>
      <c r="K29" s="612"/>
      <c r="L29" s="67"/>
      <c r="M29" s="350">
        <f>IF(ISERROR(VLOOKUP('DETAILED MODELLER - PERSON 1'!V6,'DETAILED MODELLER - PERSON 1'!C18:I47,7,FALSE)),"NOT FOUND",VLOOKUP('DETAILED MODELLER - PERSON 1'!V6,'DETAILED MODELLER - PERSON 1'!C18:I47,7,FALSE))</f>
        <v>17190.701443581122</v>
      </c>
      <c r="N29" s="665" t="s">
        <v>176</v>
      </c>
      <c r="O29" s="571"/>
      <c r="P29" s="571"/>
      <c r="Q29" s="571"/>
      <c r="R29" s="571"/>
      <c r="S29" s="571"/>
      <c r="T29" s="571"/>
      <c r="U29" s="620"/>
      <c r="V29" s="342"/>
      <c r="W29" s="342"/>
    </row>
    <row r="30" spans="1:23" ht="28" customHeight="1">
      <c r="B30" s="611" t="s">
        <v>177</v>
      </c>
      <c r="C30" s="612"/>
      <c r="D30" s="612"/>
      <c r="E30" s="612"/>
      <c r="F30" s="612"/>
      <c r="G30" s="612"/>
      <c r="H30" s="613"/>
      <c r="I30" s="613"/>
      <c r="J30" s="613"/>
      <c r="K30" s="613"/>
      <c r="L30" s="348" t="s">
        <v>171</v>
      </c>
      <c r="M30" s="354">
        <f>M25-M29</f>
        <v>-1861.9264714588971</v>
      </c>
      <c r="N30" s="187"/>
      <c r="O30" s="127"/>
      <c r="P30" s="127" t="s">
        <v>12</v>
      </c>
      <c r="Q30" s="67"/>
      <c r="R30" s="127" t="s">
        <v>12</v>
      </c>
      <c r="S30" s="67"/>
      <c r="T30" s="271"/>
      <c r="U30" s="148"/>
      <c r="V30" s="67"/>
    </row>
    <row r="31" spans="1:23" ht="30" customHeight="1">
      <c r="B31" s="621" t="s">
        <v>179</v>
      </c>
      <c r="C31" s="622"/>
      <c r="D31" s="622"/>
      <c r="E31" s="622"/>
      <c r="F31" s="622"/>
      <c r="G31" s="622"/>
      <c r="H31" s="623"/>
      <c r="I31" s="623"/>
      <c r="J31" s="623"/>
      <c r="K31" s="623"/>
      <c r="L31" s="348" t="s">
        <v>187</v>
      </c>
      <c r="M31" s="352">
        <f>M25/M29</f>
        <v>0.89168990703668316</v>
      </c>
      <c r="N31" s="624" t="s">
        <v>200</v>
      </c>
      <c r="O31" s="624"/>
      <c r="P31" s="624"/>
      <c r="Q31" s="624"/>
      <c r="R31" s="624"/>
      <c r="S31" s="624"/>
      <c r="T31" s="624"/>
      <c r="U31" s="625"/>
      <c r="V31" s="67"/>
    </row>
    <row r="32" spans="1:23" ht="15" customHeight="1">
      <c r="B32" s="344"/>
      <c r="C32" s="345"/>
      <c r="D32" s="345"/>
      <c r="E32" s="345"/>
      <c r="F32" s="345"/>
      <c r="G32" s="345"/>
      <c r="H32" s="345"/>
      <c r="I32" s="345"/>
      <c r="J32" s="345"/>
      <c r="K32" s="345"/>
      <c r="L32" s="67"/>
      <c r="M32" s="343"/>
      <c r="N32" s="67"/>
      <c r="O32" s="67"/>
      <c r="P32" s="67"/>
      <c r="Q32" s="67"/>
      <c r="R32" s="127"/>
      <c r="S32" s="67"/>
      <c r="T32" s="67"/>
      <c r="U32" s="148"/>
      <c r="V32" s="67"/>
    </row>
    <row r="33" spans="2:23" ht="28" customHeight="1">
      <c r="B33" s="611" t="s">
        <v>181</v>
      </c>
      <c r="C33" s="612"/>
      <c r="D33" s="612"/>
      <c r="E33" s="612"/>
      <c r="F33" s="612"/>
      <c r="G33" s="612"/>
      <c r="H33" s="613"/>
      <c r="I33" s="613"/>
      <c r="J33" s="613"/>
      <c r="K33" s="613"/>
      <c r="L33" s="67"/>
      <c r="M33" s="351">
        <f>IF(ISERROR(VLOOKUP('DETAILED MODELLER - PERSON 1'!V6,'DETAILED MODELLER - PERSON 1'!C98:D127,2,FALSE)),"NOT FOUND",VLOOKUP('DETAILED MODELLER - PERSON 1'!V6,'DETAILED MODELLER - PERSON 1'!C98:D127,2,FALSE))</f>
        <v>13466.848500663327</v>
      </c>
      <c r="N33" s="341"/>
      <c r="O33" s="67"/>
      <c r="P33" s="67"/>
      <c r="Q33" s="187"/>
      <c r="R33" s="67"/>
      <c r="S33" s="67"/>
      <c r="T33" s="67"/>
      <c r="U33" s="148"/>
      <c r="V33" s="67"/>
    </row>
    <row r="34" spans="2:23" ht="33" customHeight="1">
      <c r="B34" s="621" t="s">
        <v>192</v>
      </c>
      <c r="C34" s="622"/>
      <c r="D34" s="622"/>
      <c r="E34" s="622"/>
      <c r="F34" s="622"/>
      <c r="G34" s="622"/>
      <c r="H34" s="623"/>
      <c r="I34" s="623"/>
      <c r="J34" s="623"/>
      <c r="K34" s="623"/>
      <c r="M34" s="352">
        <f>IF(ISERROR(VLOOKUP('DETAILED MODELLER - PERSON 1'!V6,'DETAILED MODELLER - PERSON 1'!$C$98:$N$127,1,FALSE)),"-",VLOOKUP('DETAILED MODELLER - PERSON 1'!V6,'DETAILED MODELLER - PERSON 1'!$C$98:$N$127,12,FALSE))</f>
        <v>0.87853390275184406</v>
      </c>
      <c r="N34" s="624" t="s">
        <v>188</v>
      </c>
      <c r="O34" s="624"/>
      <c r="P34" s="624"/>
      <c r="Q34" s="624"/>
      <c r="R34" s="624"/>
      <c r="S34" s="624"/>
      <c r="T34" s="624"/>
      <c r="U34" s="625"/>
      <c r="V34" s="67"/>
    </row>
    <row r="35" spans="2:23" ht="14" customHeight="1">
      <c r="B35" s="344"/>
      <c r="C35" s="345"/>
      <c r="D35" s="345"/>
      <c r="E35" s="345"/>
      <c r="F35" s="345"/>
      <c r="G35" s="345"/>
      <c r="H35" s="345"/>
      <c r="I35" s="345"/>
      <c r="J35" s="345"/>
      <c r="K35" s="345"/>
      <c r="L35" s="67"/>
      <c r="M35" s="343"/>
      <c r="N35" s="67"/>
      <c r="O35" s="67"/>
      <c r="P35" s="67"/>
      <c r="Q35" s="67"/>
      <c r="R35" s="67"/>
      <c r="S35" s="67"/>
      <c r="T35" s="67"/>
      <c r="U35" s="148"/>
      <c r="V35" s="67"/>
    </row>
    <row r="36" spans="2:23" ht="28" customHeight="1">
      <c r="B36" s="583" t="s">
        <v>189</v>
      </c>
      <c r="C36" s="584"/>
      <c r="D36" s="584"/>
      <c r="E36" s="584"/>
      <c r="F36" s="584"/>
      <c r="G36" s="584"/>
      <c r="H36" s="585"/>
      <c r="I36" s="585"/>
      <c r="J36" s="585"/>
      <c r="K36" s="585"/>
      <c r="M36" s="355">
        <f>IF(ISERROR(VLOOKUP('DETAILED MODELLER - PERSON 1'!V6,'DETAILED MODELLER - PERSON 1'!C64:F93,4,FALSE)),"NOT FOUND",VLOOKUP('DETAILED MODELLER - PERSON 1'!V6,'DETAILED MODELLER - PERSON 1'!C64:F93,4,FALSE))*1000</f>
        <v>-5808.8817309030092</v>
      </c>
      <c r="N36" s="571" t="s">
        <v>190</v>
      </c>
      <c r="O36" s="571"/>
      <c r="P36" s="571"/>
      <c r="Q36" s="571"/>
      <c r="R36" s="571"/>
      <c r="S36" s="571"/>
      <c r="T36" s="571"/>
      <c r="U36" s="620"/>
      <c r="V36" s="342"/>
      <c r="W36" s="342"/>
    </row>
    <row r="37" spans="2:23" ht="21" customHeight="1" thickBot="1">
      <c r="B37" s="344"/>
      <c r="C37" s="345"/>
      <c r="D37" s="345"/>
      <c r="E37" s="345"/>
      <c r="F37" s="345"/>
      <c r="G37" s="345"/>
      <c r="H37" s="345"/>
      <c r="I37" s="345"/>
      <c r="J37" s="345"/>
      <c r="K37" s="345"/>
      <c r="L37" s="67"/>
      <c r="M37" s="343"/>
      <c r="N37" s="67"/>
      <c r="O37" s="67"/>
      <c r="P37" s="67"/>
      <c r="Q37" s="67"/>
      <c r="R37" s="67"/>
      <c r="S37" s="67"/>
      <c r="T37" s="67"/>
      <c r="U37" s="148"/>
      <c r="V37" s="67"/>
    </row>
    <row r="38" spans="2:23" ht="29" customHeight="1" thickBot="1">
      <c r="B38" s="666" t="s">
        <v>198</v>
      </c>
      <c r="C38" s="667"/>
      <c r="D38" s="667"/>
      <c r="E38" s="667"/>
      <c r="F38" s="667"/>
      <c r="G38" s="667"/>
      <c r="H38" s="667"/>
      <c r="I38" s="667"/>
      <c r="J38" s="667"/>
      <c r="K38" s="667"/>
      <c r="L38" s="667"/>
      <c r="M38" s="667"/>
      <c r="N38" s="667"/>
      <c r="O38" s="667"/>
      <c r="P38" s="667"/>
      <c r="Q38" s="667"/>
      <c r="R38" s="667"/>
      <c r="S38" s="667"/>
      <c r="T38" s="667"/>
      <c r="U38" s="668"/>
      <c r="V38" s="67"/>
    </row>
    <row r="39" spans="2:23" ht="15" customHeight="1">
      <c r="B39" s="344"/>
      <c r="C39" s="345"/>
      <c r="D39" s="345"/>
      <c r="E39" s="345"/>
      <c r="F39" s="345"/>
      <c r="G39" s="345"/>
      <c r="H39" s="345"/>
      <c r="I39" s="345"/>
      <c r="J39" s="345"/>
      <c r="K39" s="345"/>
      <c r="L39" s="67"/>
      <c r="M39" s="343"/>
      <c r="N39" s="67"/>
      <c r="O39" s="67"/>
      <c r="P39" s="67"/>
      <c r="Q39" s="67"/>
      <c r="R39" s="67"/>
      <c r="S39" s="67"/>
      <c r="T39" s="67"/>
      <c r="U39" s="148"/>
      <c r="V39" s="67"/>
    </row>
    <row r="40" spans="2:23" ht="28" customHeight="1">
      <c r="B40" s="611" t="s">
        <v>182</v>
      </c>
      <c r="C40" s="612"/>
      <c r="D40" s="612"/>
      <c r="E40" s="612"/>
      <c r="F40" s="612"/>
      <c r="G40" s="612"/>
      <c r="H40" s="613"/>
      <c r="I40" s="613"/>
      <c r="J40" s="613"/>
      <c r="K40" s="613"/>
      <c r="L40" s="67"/>
      <c r="M40" s="351">
        <f>D81</f>
        <v>16219.441009799186</v>
      </c>
      <c r="N40" s="187" t="s">
        <v>183</v>
      </c>
      <c r="O40" s="67"/>
      <c r="P40" s="67"/>
      <c r="Q40" s="67"/>
      <c r="R40" s="67"/>
      <c r="S40" s="67"/>
      <c r="T40" s="67"/>
      <c r="U40" s="148"/>
      <c r="V40" s="67"/>
    </row>
    <row r="41" spans="2:23" ht="24" customHeight="1">
      <c r="B41" s="611" t="s">
        <v>184</v>
      </c>
      <c r="C41" s="613"/>
      <c r="D41" s="613"/>
      <c r="E41" s="613"/>
      <c r="F41" s="613"/>
      <c r="G41" s="613"/>
      <c r="H41" s="613"/>
      <c r="I41" s="613"/>
      <c r="J41" s="613"/>
      <c r="K41" s="613"/>
      <c r="L41" s="67"/>
      <c r="M41" s="351">
        <f>G81</f>
        <v>24552.55482999876</v>
      </c>
      <c r="N41" s="187" t="s">
        <v>185</v>
      </c>
      <c r="O41" s="67"/>
      <c r="P41" s="67"/>
      <c r="Q41" s="67"/>
      <c r="R41" s="67"/>
      <c r="S41" s="67"/>
      <c r="T41" s="67"/>
      <c r="U41" s="148"/>
      <c r="V41" s="67"/>
    </row>
    <row r="42" spans="2:23" ht="31" customHeight="1">
      <c r="B42" s="611" t="s">
        <v>199</v>
      </c>
      <c r="C42" s="612"/>
      <c r="D42" s="612"/>
      <c r="E42" s="612"/>
      <c r="F42" s="612"/>
      <c r="G42" s="612"/>
      <c r="H42" s="613"/>
      <c r="I42" s="613"/>
      <c r="J42" s="613"/>
      <c r="K42" s="613"/>
      <c r="M42" s="352">
        <f>M40/M41</f>
        <v>0.66060094854088158</v>
      </c>
      <c r="N42" s="624" t="s">
        <v>201</v>
      </c>
      <c r="O42" s="624"/>
      <c r="P42" s="624"/>
      <c r="Q42" s="624"/>
      <c r="R42" s="624"/>
      <c r="S42" s="624"/>
      <c r="T42" s="624"/>
      <c r="U42" s="625"/>
      <c r="V42" s="67"/>
    </row>
    <row r="43" spans="2:23" ht="13" customHeight="1">
      <c r="B43" s="150"/>
      <c r="C43" s="144"/>
      <c r="D43" s="144"/>
      <c r="E43" s="144"/>
      <c r="F43" s="144"/>
      <c r="G43" s="144"/>
      <c r="H43" s="144"/>
      <c r="I43" s="144"/>
      <c r="J43" s="144"/>
      <c r="K43" s="144"/>
      <c r="L43" s="67"/>
      <c r="M43" s="343"/>
      <c r="N43" s="187"/>
      <c r="O43" s="67"/>
      <c r="P43" s="67"/>
      <c r="Q43" s="67"/>
      <c r="R43" s="67"/>
      <c r="S43" s="67"/>
      <c r="T43" s="67"/>
      <c r="U43" s="148"/>
      <c r="V43" s="67"/>
    </row>
    <row r="44" spans="2:23" ht="28" customHeight="1">
      <c r="B44" s="662" t="s">
        <v>196</v>
      </c>
      <c r="C44" s="663"/>
      <c r="D44" s="663"/>
      <c r="E44" s="663"/>
      <c r="F44" s="663"/>
      <c r="G44" s="663"/>
      <c r="H44" s="664"/>
      <c r="I44" s="664"/>
      <c r="J44" s="664"/>
      <c r="K44" s="664"/>
      <c r="L44" s="67"/>
      <c r="M44" s="349">
        <f>IF(ISERROR(VLOOKUP(84,'DETAILED MODELLER - PERSON 1'!$B$98:$N$127,1,FALSE)),"-",VLOOKUP(84,'DETAILED MODELLER - PERSON 1'!$B$98:$N$127,3,FALSE))</f>
        <v>7886.3271895996113</v>
      </c>
      <c r="N44" s="341"/>
      <c r="O44" s="67"/>
      <c r="P44" s="67"/>
      <c r="Q44" s="187"/>
      <c r="R44" s="67"/>
      <c r="S44" s="67"/>
      <c r="T44" s="67"/>
      <c r="U44" s="148"/>
      <c r="V44" s="67"/>
    </row>
    <row r="45" spans="2:23" ht="35" customHeight="1">
      <c r="B45" s="659" t="s">
        <v>194</v>
      </c>
      <c r="C45" s="660"/>
      <c r="D45" s="660"/>
      <c r="E45" s="660"/>
      <c r="F45" s="660"/>
      <c r="G45" s="660"/>
      <c r="H45" s="661"/>
      <c r="I45" s="661"/>
      <c r="J45" s="661"/>
      <c r="K45" s="661"/>
      <c r="M45" s="363">
        <f>IF(ISERROR(VLOOKUP(84,'DETAILED MODELLER - PERSON 1'!$B$98:$N$127,1,FALSE)),"-",VLOOKUP(84,'DETAILED MODELLER - PERSON 1'!$B$98:$N$127,13,FALSE))</f>
        <v>0.48622681785611382</v>
      </c>
      <c r="N45" s="624" t="s">
        <v>188</v>
      </c>
      <c r="O45" s="624"/>
      <c r="P45" s="624"/>
      <c r="Q45" s="624"/>
      <c r="R45" s="624"/>
      <c r="S45" s="624"/>
      <c r="T45" s="624"/>
      <c r="U45" s="625"/>
      <c r="V45" s="67"/>
    </row>
    <row r="46" spans="2:23" ht="13" customHeight="1">
      <c r="B46" s="150"/>
      <c r="C46" s="144"/>
      <c r="D46" s="144"/>
      <c r="E46" s="144"/>
      <c r="F46" s="144"/>
      <c r="G46" s="144"/>
      <c r="H46" s="144"/>
      <c r="I46" s="144"/>
      <c r="J46" s="144"/>
      <c r="K46" s="144"/>
      <c r="L46" s="67"/>
      <c r="M46" s="343"/>
      <c r="N46" s="187"/>
      <c r="O46" s="67"/>
      <c r="P46" s="67"/>
      <c r="Q46" s="67"/>
      <c r="R46" s="67"/>
      <c r="S46" s="67"/>
      <c r="T46" s="67"/>
      <c r="U46" s="148"/>
      <c r="V46" s="67"/>
    </row>
    <row r="47" spans="2:23" ht="28" customHeight="1">
      <c r="B47" s="608" t="s">
        <v>186</v>
      </c>
      <c r="C47" s="609"/>
      <c r="D47" s="609"/>
      <c r="E47" s="609"/>
      <c r="F47" s="609"/>
      <c r="G47" s="609"/>
      <c r="H47" s="610"/>
      <c r="I47" s="610"/>
      <c r="J47" s="610"/>
      <c r="K47" s="610"/>
      <c r="M47" s="354">
        <f>K81</f>
        <v>-96959.346314483657</v>
      </c>
      <c r="N47" s="67"/>
      <c r="O47" s="67"/>
      <c r="P47" s="67"/>
      <c r="Q47" s="67"/>
      <c r="R47" s="67"/>
      <c r="S47" s="67"/>
      <c r="T47" s="67"/>
      <c r="U47" s="148"/>
      <c r="V47" s="67"/>
    </row>
    <row r="48" spans="2:23" ht="19">
      <c r="B48" s="150"/>
      <c r="C48" s="144"/>
      <c r="D48" s="144"/>
      <c r="E48" s="144"/>
      <c r="F48" s="144"/>
      <c r="G48" s="144"/>
      <c r="H48" s="144"/>
      <c r="I48" s="144"/>
      <c r="J48" s="144"/>
      <c r="K48" s="144"/>
      <c r="L48" s="67"/>
      <c r="M48" s="343"/>
      <c r="N48" s="67"/>
      <c r="O48" s="67"/>
      <c r="P48" s="67"/>
      <c r="Q48" s="67"/>
      <c r="R48" s="67"/>
      <c r="S48" s="67"/>
      <c r="T48" s="67"/>
      <c r="U48" s="148"/>
      <c r="V48" s="67"/>
    </row>
    <row r="49" spans="2:22" ht="26" customHeight="1">
      <c r="B49" s="618" t="s">
        <v>191</v>
      </c>
      <c r="C49" s="619"/>
      <c r="D49" s="619"/>
      <c r="E49" s="619"/>
      <c r="F49" s="619"/>
      <c r="G49" s="619"/>
      <c r="H49" s="619"/>
      <c r="I49" s="619"/>
      <c r="J49" s="619"/>
      <c r="K49" s="619"/>
      <c r="L49" s="67"/>
      <c r="M49" s="364">
        <f>M56</f>
        <v>2</v>
      </c>
      <c r="N49" s="347" t="s">
        <v>202</v>
      </c>
      <c r="O49" s="67"/>
      <c r="P49" s="67"/>
      <c r="Q49" s="67"/>
      <c r="R49" s="67"/>
      <c r="S49" s="67"/>
      <c r="T49" s="67"/>
      <c r="U49" s="148"/>
      <c r="V49" s="67"/>
    </row>
    <row r="50" spans="2:22" ht="16">
      <c r="B50" s="151"/>
      <c r="C50" s="67"/>
      <c r="D50" s="67"/>
      <c r="E50" s="67"/>
      <c r="F50" s="67"/>
      <c r="G50" s="67"/>
      <c r="H50" s="67"/>
      <c r="I50" s="67"/>
      <c r="J50" s="67"/>
      <c r="K50" s="67"/>
      <c r="L50" s="67"/>
      <c r="M50" s="67"/>
      <c r="N50" s="617" t="s">
        <v>151</v>
      </c>
      <c r="O50" s="617"/>
      <c r="P50" s="617"/>
      <c r="Q50" s="617"/>
      <c r="R50" s="617"/>
      <c r="S50" s="67"/>
      <c r="T50" s="67"/>
      <c r="U50" s="148"/>
    </row>
    <row r="51" spans="2:22" ht="20" thickBot="1">
      <c r="B51" s="198"/>
      <c r="C51" s="199"/>
      <c r="D51" s="199"/>
      <c r="E51" s="199"/>
      <c r="F51" s="199"/>
      <c r="G51" s="199"/>
      <c r="H51" s="199"/>
      <c r="I51" s="199"/>
      <c r="J51" s="199"/>
      <c r="K51" s="199"/>
      <c r="L51" s="199"/>
      <c r="M51" s="200"/>
      <c r="N51" s="200"/>
      <c r="O51" s="201"/>
      <c r="P51" s="202"/>
      <c r="Q51" s="152"/>
      <c r="R51" s="152"/>
      <c r="S51" s="152"/>
      <c r="T51" s="152"/>
      <c r="U51" s="153"/>
      <c r="V51" s="67"/>
    </row>
    <row r="52" spans="2:22" ht="20" customHeight="1" thickBot="1">
      <c r="V52" s="67"/>
    </row>
    <row r="53" spans="2:22" ht="32" thickBot="1">
      <c r="B53" s="614" t="s">
        <v>265</v>
      </c>
      <c r="C53" s="615"/>
      <c r="D53" s="615"/>
      <c r="E53" s="615"/>
      <c r="F53" s="615"/>
      <c r="G53" s="615"/>
      <c r="H53" s="615"/>
      <c r="I53" s="615"/>
      <c r="J53" s="615"/>
      <c r="K53" s="615"/>
      <c r="L53" s="615"/>
      <c r="M53" s="615"/>
      <c r="N53" s="615"/>
      <c r="O53" s="615"/>
      <c r="P53" s="615"/>
      <c r="Q53" s="615"/>
      <c r="R53" s="615"/>
      <c r="S53" s="615"/>
      <c r="T53" s="615"/>
      <c r="U53" s="616"/>
    </row>
    <row r="54" spans="2:22" ht="33" customHeight="1"/>
    <row r="55" spans="2:22">
      <c r="B55" s="67"/>
      <c r="C55" s="67"/>
      <c r="D55" s="67"/>
      <c r="E55" s="67"/>
      <c r="F55" s="67"/>
      <c r="G55" s="67"/>
      <c r="H55" s="67"/>
      <c r="I55" s="67"/>
      <c r="J55" s="67"/>
      <c r="K55" s="67"/>
      <c r="L55" s="67"/>
      <c r="M55" s="67"/>
      <c r="N55" s="67"/>
      <c r="O55" s="67"/>
      <c r="P55" s="67"/>
      <c r="Q55" s="67"/>
      <c r="R55" s="67"/>
      <c r="S55" s="67"/>
      <c r="T55" s="67"/>
      <c r="U55" s="67"/>
    </row>
    <row r="56" spans="2:22" ht="29" customHeight="1">
      <c r="E56" s="606" t="s">
        <v>175</v>
      </c>
      <c r="F56" s="606"/>
      <c r="G56" s="606"/>
      <c r="H56" s="606"/>
      <c r="I56" s="606"/>
      <c r="J56" s="606"/>
      <c r="K56" s="607"/>
      <c r="L56" s="338" t="s">
        <v>47</v>
      </c>
      <c r="M56" s="270">
        <v>2</v>
      </c>
      <c r="N56" s="181" t="s">
        <v>56</v>
      </c>
    </row>
    <row r="57" spans="2:22" ht="29" customHeight="1" thickBot="1"/>
    <row r="58" spans="2:22" ht="29" customHeight="1" thickBot="1">
      <c r="D58" s="629" t="s">
        <v>128</v>
      </c>
      <c r="E58" s="630"/>
      <c r="F58" s="630"/>
      <c r="G58" s="630"/>
      <c r="H58" s="630"/>
      <c r="I58" s="630"/>
      <c r="J58" s="630"/>
      <c r="K58" s="630"/>
      <c r="L58" s="630"/>
      <c r="M58" s="630"/>
      <c r="N58" s="630"/>
      <c r="O58" s="630"/>
      <c r="P58" s="630"/>
      <c r="Q58" s="630"/>
      <c r="R58" s="630"/>
      <c r="S58" s="631"/>
    </row>
    <row r="59" spans="2:22" ht="29" customHeight="1" thickBot="1"/>
    <row r="60" spans="2:22" ht="15" customHeight="1">
      <c r="B60" s="600" t="s">
        <v>149</v>
      </c>
      <c r="C60" s="601"/>
      <c r="D60" s="601"/>
      <c r="E60" s="601"/>
      <c r="F60" s="601"/>
      <c r="G60" s="601"/>
      <c r="H60" s="601"/>
      <c r="I60" s="601"/>
      <c r="J60" s="601"/>
      <c r="K60" s="602"/>
    </row>
    <row r="61" spans="2:22" ht="15" customHeight="1" thickBot="1">
      <c r="B61" s="603"/>
      <c r="C61" s="604"/>
      <c r="D61" s="604"/>
      <c r="E61" s="604"/>
      <c r="F61" s="604"/>
      <c r="G61" s="604"/>
      <c r="H61" s="604"/>
      <c r="I61" s="604"/>
      <c r="J61" s="604"/>
      <c r="K61" s="605"/>
    </row>
    <row r="62" spans="2:22" ht="47" customHeight="1">
      <c r="B62" s="600" t="s">
        <v>150</v>
      </c>
      <c r="C62" s="601"/>
      <c r="D62" s="601"/>
      <c r="E62" s="601"/>
      <c r="F62" s="601"/>
      <c r="G62" s="601"/>
      <c r="H62" s="601"/>
      <c r="I62" s="601"/>
      <c r="J62" s="601"/>
      <c r="K62" s="602"/>
    </row>
    <row r="63" spans="2:22" ht="34" customHeight="1">
      <c r="B63" s="626"/>
      <c r="C63" s="627"/>
      <c r="D63" s="627"/>
      <c r="E63" s="627"/>
      <c r="F63" s="627"/>
      <c r="G63" s="627"/>
      <c r="H63" s="627"/>
      <c r="I63" s="627"/>
      <c r="J63" s="627"/>
      <c r="K63" s="628"/>
    </row>
    <row r="64" spans="2:22" ht="73" customHeight="1" thickBot="1">
      <c r="B64" s="603"/>
      <c r="C64" s="604"/>
      <c r="D64" s="604"/>
      <c r="E64" s="604"/>
      <c r="F64" s="604"/>
      <c r="G64" s="604"/>
      <c r="H64" s="604"/>
      <c r="I64" s="604"/>
      <c r="J64" s="604"/>
      <c r="K64" s="605"/>
    </row>
    <row r="65" spans="2:12" ht="28" customHeight="1"/>
    <row r="66" spans="2:12" ht="68">
      <c r="B66" s="236" t="s">
        <v>0</v>
      </c>
      <c r="C66" s="236" t="s">
        <v>88</v>
      </c>
      <c r="D66" s="30" t="s">
        <v>259</v>
      </c>
      <c r="E66" s="30" t="s">
        <v>105</v>
      </c>
      <c r="F66" s="188"/>
      <c r="G66" s="165" t="s">
        <v>104</v>
      </c>
      <c r="H66" s="165" t="s">
        <v>106</v>
      </c>
      <c r="I66" s="188"/>
      <c r="J66" s="237" t="s">
        <v>260</v>
      </c>
      <c r="K66" s="237" t="s">
        <v>261</v>
      </c>
      <c r="L66" s="67"/>
    </row>
    <row r="67" spans="2:12">
      <c r="L67" s="67"/>
    </row>
    <row r="68" spans="2:12">
      <c r="B68" s="67"/>
      <c r="C68" s="67"/>
      <c r="D68" s="67"/>
      <c r="E68" s="67"/>
      <c r="F68" s="67"/>
      <c r="G68" s="67"/>
      <c r="H68" s="67"/>
      <c r="I68" s="67"/>
      <c r="J68" s="67"/>
      <c r="K68" s="67"/>
      <c r="L68" s="67"/>
    </row>
    <row r="69" spans="2:12" ht="19">
      <c r="B69" s="217" t="str">
        <f>IF(ISERROR(VLOOKUP(C69,'DETAILED MODELLER - PERSON 1'!$D$18:$AW$47,1,FALSE)),"-",VLOOKUP(C69,'DETAILED MODELLER - PERSON 1'!$D$18:$AW$47,9,FALSE))</f>
        <v>-</v>
      </c>
      <c r="C69" s="217">
        <v>55</v>
      </c>
      <c r="D69" s="231" t="str">
        <f>IF(ISERROR(VLOOKUP(C69,'DETAILED MODELLER - PERSON 1'!$D$18:$AW$47,1,FALSE)),"-",VLOOKUP(C69,'DETAILED MODELLER - PERSON 1'!$D$18:$AW$47,12,FALSE))</f>
        <v>-</v>
      </c>
      <c r="E69" s="231" t="str">
        <f>IF(ISERROR(VLOOKUP(C69,'DETAILED MODELLER - PERSON 1'!$D$18:$AW$47,1,FALSE)),"-",VLOOKUP(C69,'DETAILED MODELLER - PERSON 1'!$D$18:$AW$47,13,FALSE))</f>
        <v>-</v>
      </c>
      <c r="G69" s="233" t="str">
        <f>IF(ISERROR(VLOOKUP(C69,'DETAILED MODELLER - PERSON 1'!$D$18:$AW$47,1,FALSE)),"-",VLOOKUP(C69,'DETAILED MODELLER - PERSON 1'!$D$18:$AW$47,6,FALSE))</f>
        <v>-</v>
      </c>
      <c r="H69" s="233" t="str">
        <f>IF(ISERROR(VLOOKUP(C69,'DETAILED MODELLER - PERSON 1'!$B$98:$P$127,1,FALSE)),"-",VLOOKUP(C69,'DETAILED MODELLER - PERSON 1'!$B$98:$P$127,12,FALSE))</f>
        <v>-</v>
      </c>
      <c r="J69" s="231" t="str">
        <f>IF(ISERROR(VLOOKUP(C69,'DETAILED MODELLER - PERSON 1'!$D$18:$AW$47,1,FALSE)),"-",VLOOKUP(C69,'DETAILED MODELLER - PERSON 1'!$D$18:$AW$47,14,FALSE))</f>
        <v>-</v>
      </c>
      <c r="K69" s="233" t="str">
        <f>IF(ISERROR(VLOOKUP(C69,'DETAILED MODELLER - PERSON 1'!$D$18:$AW$47,1,FALSE)),"-",VLOOKUP(C69,'DETAILED MODELLER - PERSON 1'!$D$18:$AW$47,15,FALSE))</f>
        <v>-</v>
      </c>
      <c r="L69" s="67"/>
    </row>
    <row r="70" spans="2:12" ht="19">
      <c r="B70" s="186"/>
      <c r="C70" s="186"/>
      <c r="D70" s="232"/>
      <c r="E70" s="232"/>
      <c r="G70" s="232"/>
      <c r="H70" s="232"/>
      <c r="J70" s="232"/>
      <c r="K70" s="232"/>
    </row>
    <row r="71" spans="2:12" ht="19">
      <c r="B71" s="217" t="str">
        <f>IF(ISERROR(VLOOKUP(C71,'DETAILED MODELLER - PERSON 1'!$D$18:$AW$47,1,FALSE)),"-",VLOOKUP(C71,'DETAILED MODELLER - PERSON 1'!$D$18:$AW$47,9,FALSE))</f>
        <v>-</v>
      </c>
      <c r="C71" s="217">
        <v>60</v>
      </c>
      <c r="D71" s="231" t="str">
        <f>IF(ISERROR(VLOOKUP(C71,'DETAILED MODELLER - PERSON 1'!$D$18:$AW$47,1,FALSE)),"-",VLOOKUP(C71,'DETAILED MODELLER - PERSON 1'!$D$18:$AW$47,12,FALSE))</f>
        <v>-</v>
      </c>
      <c r="E71" s="231" t="str">
        <f>IF(ISERROR(VLOOKUP(C71,'DETAILED MODELLER - PERSON 1'!$D$18:$AW$47,1,FALSE)),"-",VLOOKUP(C71,'DETAILED MODELLER - PERSON 1'!$D$18:$AW$47,13,FALSE))</f>
        <v>-</v>
      </c>
      <c r="G71" s="233" t="str">
        <f>IF(ISERROR(VLOOKUP(C71,'DETAILED MODELLER - PERSON 1'!$D$18:$AW$47,1,FALSE)),"-",VLOOKUP(C71,'DETAILED MODELLER - PERSON 1'!$D$18:$AW$47,6,FALSE))</f>
        <v>-</v>
      </c>
      <c r="H71" s="233" t="str">
        <f>IF(ISERROR(VLOOKUP(C71,'DETAILED MODELLER - PERSON 1'!$B$98:$P$127,1,FALSE)),"-",VLOOKUP(C71,'DETAILED MODELLER - PERSON 1'!$B$98:$P$127,12,FALSE))</f>
        <v>-</v>
      </c>
      <c r="I71" s="232"/>
      <c r="J71" s="233" t="str">
        <f>IF(ISERROR(VLOOKUP(C71,'DETAILED MODELLER - PERSON 1'!$D$18:$AW$47,1,FALSE)),"-",VLOOKUP(C71,'DETAILED MODELLER - PERSON 1'!$D$18:$AW$47,14,FALSE))</f>
        <v>-</v>
      </c>
      <c r="K71" s="233" t="str">
        <f>IF(ISERROR(VLOOKUP(C71,'DETAILED MODELLER - PERSON 1'!$D$18:$AW$47,1,FALSE)),"-",VLOOKUP(C71,'DETAILED MODELLER - PERSON 1'!$D$18:$AW$47,15,FALSE))</f>
        <v>-</v>
      </c>
    </row>
    <row r="72" spans="2:12" ht="19">
      <c r="B72" s="186"/>
      <c r="C72" s="186"/>
      <c r="D72" s="232"/>
      <c r="E72" s="232"/>
      <c r="G72" s="232"/>
      <c r="H72" s="232"/>
      <c r="J72" s="232"/>
      <c r="K72" s="232"/>
    </row>
    <row r="73" spans="2:12" ht="19">
      <c r="B73" s="217">
        <f>IF(ISERROR(VLOOKUP(C73,'DETAILED MODELLER - PERSON 1'!$D$18:$AW$47,1,FALSE)),"-",VLOOKUP(C73,'DETAILED MODELLER - PERSON 1'!$D$18:$AW$47,9,FALSE))</f>
        <v>2020</v>
      </c>
      <c r="C73" s="234">
        <v>65</v>
      </c>
      <c r="D73" s="231">
        <f>IF(ISERROR(VLOOKUP(C73,'DETAILED MODELLER - PERSON 1'!$D$18:$AW$47,1,FALSE)),"-",VLOOKUP(C73,'DETAILED MODELLER - PERSON 1'!$D$18:$AW$47,12,FALSE))</f>
        <v>15280.753078389984</v>
      </c>
      <c r="E73" s="231">
        <f>IF(ISERROR(VLOOKUP(C73,'DETAILED MODELLER - PERSON 1'!$D$18:$AW$47,1,FALSE)),"-",VLOOKUP(C73,'DETAILED MODELLER - PERSON 1'!$D$18:$AW$47,13,FALSE))</f>
        <v>60714.415846811891</v>
      </c>
      <c r="G73" s="233">
        <f>IF(ISERROR(VLOOKUP(C73,'DETAILED MODELLER - PERSON 1'!$D$18:$AW$47,1,FALSE)),"-",VLOOKUP(C73,'DETAILED MODELLER - PERSON 1'!$D$18:$AW$47,6,FALSE))</f>
        <v>16853.628866256</v>
      </c>
      <c r="H73" s="233">
        <f>IF(ISERROR(VLOOKUP(C73,'DETAILED MODELLER - PERSON 1'!$B$98:$P$127,1,FALSE)),"-",VLOOKUP(C73,'DETAILED MODELLER - PERSON 1'!$B$98:$P$127,12,FALSE))</f>
        <v>64661.371106256003</v>
      </c>
      <c r="I73" s="232"/>
      <c r="J73" s="233">
        <f>IF(ISERROR(VLOOKUP(C73,'DETAILED MODELLER - PERSON 1'!$D$18:$AW$47,1,FALSE)),"-",VLOOKUP(C73,'DETAILED MODELLER - PERSON 1'!$D$18:$AW$47,14,FALSE))</f>
        <v>-1572.8757878660163</v>
      </c>
      <c r="K73" s="233">
        <f>IF(ISERROR(VLOOKUP(C73,'DETAILED MODELLER - PERSON 1'!$D$18:$AW$47,1,FALSE)),"-",VLOOKUP(C73,'DETAILED MODELLER - PERSON 1'!$D$18:$AW$47,15,FALSE))</f>
        <v>-3946.955259444112</v>
      </c>
    </row>
    <row r="74" spans="2:12" ht="19">
      <c r="B74" s="186"/>
      <c r="C74" s="186"/>
      <c r="D74" s="232"/>
      <c r="E74" s="232"/>
      <c r="G74" s="232"/>
      <c r="H74" s="232"/>
      <c r="J74" s="232"/>
      <c r="K74" s="232"/>
    </row>
    <row r="75" spans="2:12" ht="19">
      <c r="B75" s="217">
        <f>IF(ISERROR(VLOOKUP(C75,'DETAILED MODELLER - PERSON 1'!$D$18:$AW$47,1,FALSE)),"-",VLOOKUP(C75,'DETAILED MODELLER - PERSON 1'!$D$18:$AW$47,9,FALSE))</f>
        <v>2025</v>
      </c>
      <c r="C75" s="217">
        <v>70</v>
      </c>
      <c r="D75" s="231">
        <f>IF(ISERROR(VLOOKUP(C75,'DETAILED MODELLER - PERSON 1'!$D$18:$AW$47,1,FALSE)),"-",VLOOKUP(C75,'DETAILED MODELLER - PERSON 1'!$D$18:$AW$47,12,FALSE))</f>
        <v>15522.37645209768</v>
      </c>
      <c r="E75" s="231">
        <f>IF(ISERROR(VLOOKUP(C75,'DETAILED MODELLER - PERSON 1'!$D$18:$AW$47,1,FALSE)),"-",VLOOKUP(C75,'DETAILED MODELLER - PERSON 1'!$D$18:$AW$47,13,FALSE))</f>
        <v>137841.53507750723</v>
      </c>
      <c r="G75" s="233">
        <f>IF(ISERROR(VLOOKUP(C75,'DETAILED MODELLER - PERSON 1'!$D$18:$AW$47,1,FALSE)),"-",VLOOKUP(C75,'DETAILED MODELLER - PERSON 1'!$D$18:$AW$47,6,FALSE))</f>
        <v>18607.768095490635</v>
      </c>
      <c r="H75" s="233">
        <f>IF(ISERROR(VLOOKUP(C75,'DETAILED MODELLER - PERSON 1'!$B$98:$P$127,1,FALSE)),"-",VLOOKUP(C75,'DETAILED MODELLER - PERSON 1'!$B$98:$P$127,12,FALSE))</f>
        <v>154122.47179722216</v>
      </c>
      <c r="J75" s="233">
        <f>IF(ISERROR(VLOOKUP(C75,'DETAILED MODELLER - PERSON 1'!$D$18:$AW$47,1,FALSE)),"-",VLOOKUP(C75,'DETAILED MODELLER - PERSON 1'!$D$18:$AW$47,14,FALSE))</f>
        <v>-3085.3916433929553</v>
      </c>
      <c r="K75" s="233">
        <f>IF(ISERROR(VLOOKUP(C75,'DETAILED MODELLER - PERSON 1'!$D$18:$AW$47,1,FALSE)),"-",VLOOKUP(C75,'DETAILED MODELLER - PERSON 1'!$D$18:$AW$47,15,FALSE))</f>
        <v>-16280.936719714913</v>
      </c>
    </row>
    <row r="76" spans="2:12" ht="19">
      <c r="B76" s="186"/>
      <c r="C76" s="186"/>
      <c r="D76" s="232"/>
      <c r="E76" s="232"/>
      <c r="G76" s="232"/>
      <c r="H76" s="232"/>
      <c r="J76" s="232"/>
      <c r="K76" s="232"/>
    </row>
    <row r="77" spans="2:12" ht="19">
      <c r="B77" s="217">
        <f>IF(ISERROR(VLOOKUP(C77,'DETAILED MODELLER - PERSON 1'!$D$18:$AW$47,1,FALSE)),"-",VLOOKUP(C77,'DETAILED MODELLER - PERSON 1'!$D$18:$AW$47,9,FALSE))</f>
        <v>2030</v>
      </c>
      <c r="C77" s="217">
        <v>75</v>
      </c>
      <c r="D77" s="231">
        <f>IF(ISERROR(VLOOKUP(C77,'DETAILED MODELLER - PERSON 1'!$D$18:$AW$47,1,FALSE)),"-",VLOOKUP(C77,'DETAILED MODELLER - PERSON 1'!$D$18:$AW$47,12,FALSE))</f>
        <v>15767.82043951613</v>
      </c>
      <c r="E77" s="231">
        <f>IF(ISERROR(VLOOKUP(C77,'DETAILED MODELLER - PERSON 1'!$D$18:$AW$47,1,FALSE)),"-",VLOOKUP(C77,'DETAILED MODELLER - PERSON 1'!$D$18:$AW$47,13,FALSE))</f>
        <v>216188.20904200891</v>
      </c>
      <c r="G77" s="233">
        <f>IF(ISERROR(VLOOKUP(C77,'DETAILED MODELLER - PERSON 1'!$D$18:$AW$47,1,FALSE)),"-",VLOOKUP(C77,'DETAILED MODELLER - PERSON 1'!$D$18:$AW$47,6,FALSE))</f>
        <v>20544.479544628633</v>
      </c>
      <c r="H77" s="233">
        <f>IF(ISERROR(VLOOKUP(C77,'DETAILED MODELLER - PERSON 1'!$B$98:$P$127,1,FALSE)),"-",VLOOKUP(C77,'DETAILED MODELLER - PERSON 1'!$B$98:$P$127,12,FALSE))</f>
        <v>252894.7557032601</v>
      </c>
      <c r="J77" s="233">
        <f>IF(ISERROR(VLOOKUP(C77,'DETAILED MODELLER - PERSON 1'!$D$18:$AW$47,1,FALSE)),"-",VLOOKUP(C77,'DETAILED MODELLER - PERSON 1'!$D$18:$AW$47,14,FALSE))</f>
        <v>-4776.6591051125033</v>
      </c>
      <c r="K77" s="233">
        <f>IF(ISERROR(VLOOKUP(C77,'DETAILED MODELLER - PERSON 1'!$D$18:$AW$47,1,FALSE)),"-",VLOOKUP(C77,'DETAILED MODELLER - PERSON 1'!$D$18:$AW$47,15,FALSE))</f>
        <v>-36706.546661251195</v>
      </c>
    </row>
    <row r="78" spans="2:12" ht="19">
      <c r="B78" s="186"/>
      <c r="C78" s="186"/>
      <c r="D78" s="232"/>
      <c r="E78" s="232"/>
      <c r="G78" s="232"/>
      <c r="H78" s="232"/>
      <c r="J78" s="232"/>
      <c r="K78" s="232"/>
    </row>
    <row r="79" spans="2:12" ht="19">
      <c r="B79" s="217">
        <f>IF(ISERROR(VLOOKUP(C79,'DETAILED MODELLER - PERSON 1'!$D$18:$AW$47,1,FALSE)),"-",VLOOKUP(C79,'DETAILED MODELLER - PERSON 1'!$D$18:$AW$47,9,FALSE))</f>
        <v>2035</v>
      </c>
      <c r="C79" s="217">
        <v>80</v>
      </c>
      <c r="D79" s="231">
        <f>IF(ISERROR(VLOOKUP(C79,'DETAILED MODELLER - PERSON 1'!$D$18:$AW$47,1,FALSE)),"-",VLOOKUP(C79,'DETAILED MODELLER - PERSON 1'!$D$18:$AW$47,12,FALSE))</f>
        <v>16017.145453215944</v>
      </c>
      <c r="E79" s="231">
        <f>IF(ISERROR(VLOOKUP(C79,'DETAILED MODELLER - PERSON 1'!$D$18:$AW$47,1,FALSE)),"-",VLOOKUP(C79,'DETAILED MODELLER - PERSON 1'!$D$18:$AW$47,13,FALSE))</f>
        <v>295773.72166746971</v>
      </c>
      <c r="G79" s="233">
        <f>IF(ISERROR(VLOOKUP(C79,'DETAILED MODELLER - PERSON 1'!$D$18:$AW$47,1,FALSE)),"-",VLOOKUP(C79,'DETAILED MODELLER - PERSON 1'!$D$18:$AW$47,6,FALSE))</f>
        <v>22682.765476959554</v>
      </c>
      <c r="H79" s="233">
        <f>IF(ISERROR(VLOOKUP(C79,'DETAILED MODELLER - PERSON 1'!$B$98:$P$127,1,FALSE)),"-",VLOOKUP(C79,'DETAILED MODELLER - PERSON 1'!$B$98:$P$127,12,FALSE))</f>
        <v>361947.33825213695</v>
      </c>
      <c r="J79" s="233">
        <f>IF(ISERROR(VLOOKUP(C79,'DETAILED MODELLER - PERSON 1'!$D$18:$AW$47,1,FALSE)),"-",VLOOKUP(C79,'DETAILED MODELLER - PERSON 1'!$D$18:$AW$47,14,FALSE))</f>
        <v>-6665.6200237436096</v>
      </c>
      <c r="K79" s="233">
        <f>IF(ISERROR(VLOOKUP(C79,'DETAILED MODELLER - PERSON 1'!$D$18:$AW$47,1,FALSE)),"-",VLOOKUP(C79,'DETAILED MODELLER - PERSON 1'!$D$18:$AW$47,15,FALSE))</f>
        <v>-66173.616584667194</v>
      </c>
    </row>
    <row r="80" spans="2:12" ht="19">
      <c r="B80" s="186"/>
      <c r="C80" s="186"/>
      <c r="D80" s="232"/>
      <c r="E80" s="232"/>
      <c r="G80" s="232"/>
      <c r="H80" s="232"/>
      <c r="J80" s="232"/>
      <c r="K80" s="232"/>
    </row>
    <row r="81" spans="2:21" ht="19">
      <c r="B81" s="217">
        <f>IF(ISERROR(VLOOKUP(C81,'DETAILED MODELLER - PERSON 1'!$D$18:$AW$47,1,FALSE)),"-",VLOOKUP(C81,'DETAILED MODELLER - PERSON 1'!$D$18:$AW$47,9,FALSE))</f>
        <v>2039</v>
      </c>
      <c r="C81" s="217">
        <v>84</v>
      </c>
      <c r="D81" s="231">
        <f>IF(ISERROR(VLOOKUP(C81,'DETAILED MODELLER - PERSON 1'!$D$18:$AW$47,1,FALSE)),"-",VLOOKUP(C81,'DETAILED MODELLER - PERSON 1'!$D$18:$AW$47,12,FALSE))</f>
        <v>16219.441009799186</v>
      </c>
      <c r="E81" s="231">
        <f>IF(ISERROR(VLOOKUP(C81,'DETAILED MODELLER - PERSON 1'!$D$18:$AW$47,1,FALSE)),"-",VLOOKUP(C81,'DETAILED MODELLER - PERSON 1'!$D$18:$AW$47,13,FALSE))</f>
        <v>360347.24894265283</v>
      </c>
      <c r="G81" s="233">
        <f>IF(ISERROR(VLOOKUP(C81,'DETAILED MODELLER - PERSON 1'!$D$18:$AW$47,1,FALSE)),"-",VLOOKUP(C81,'DETAILED MODELLER - PERSON 1'!$D$18:$AW$47,6,FALSE))</f>
        <v>24552.55482999876</v>
      </c>
      <c r="H81" s="233">
        <f>IF(ISERROR(VLOOKUP(C81,'DETAILED MODELLER - PERSON 1'!$B$98:$P$127,1,FALSE)),"-",VLOOKUP(C81,'DETAILED MODELLER - PERSON 1'!$B$98:$P$127,12,FALSE))</f>
        <v>457306.59525713645</v>
      </c>
      <c r="J81" s="233">
        <f>IF(ISERROR(VLOOKUP(C81,'DETAILED MODELLER - PERSON 1'!$D$18:$AW$47,1,FALSE)),"-",VLOOKUP(C81,'DETAILED MODELLER - PERSON 1'!$D$18:$AW$47,14,FALSE))</f>
        <v>-8333.1138201995745</v>
      </c>
      <c r="K81" s="233">
        <f>IF(ISERROR(VLOOKUP(C81,'DETAILED MODELLER - PERSON 1'!$D$18:$AW$47,1,FALSE)),"-",VLOOKUP(C81,'DETAILED MODELLER - PERSON 1'!$D$18:$AW$47,15,FALSE))</f>
        <v>-96959.346314483657</v>
      </c>
    </row>
    <row r="82" spans="2:21">
      <c r="M82" s="67"/>
      <c r="N82" s="67"/>
    </row>
    <row r="83" spans="2:21" ht="16" thickBot="1">
      <c r="B83" s="67"/>
      <c r="C83" s="67"/>
      <c r="D83" s="67"/>
      <c r="E83" s="67"/>
      <c r="F83" s="67"/>
      <c r="G83" s="67"/>
      <c r="H83" s="67"/>
      <c r="I83" s="67"/>
      <c r="J83" s="67"/>
      <c r="K83" s="67"/>
      <c r="L83" s="67"/>
      <c r="M83" s="67"/>
      <c r="N83" s="67"/>
      <c r="O83" s="67"/>
      <c r="P83" s="67"/>
      <c r="Q83" s="67"/>
      <c r="R83" s="67"/>
      <c r="S83" s="67"/>
      <c r="T83" s="67"/>
      <c r="U83" s="67"/>
    </row>
    <row r="84" spans="2:21" ht="27" thickBot="1">
      <c r="B84" s="629" t="s">
        <v>127</v>
      </c>
      <c r="C84" s="630"/>
      <c r="D84" s="630"/>
      <c r="E84" s="630"/>
      <c r="F84" s="630"/>
      <c r="G84" s="630"/>
      <c r="H84" s="630"/>
      <c r="I84" s="630"/>
      <c r="J84" s="630"/>
      <c r="K84" s="631"/>
    </row>
    <row r="85" spans="2:21" ht="16" thickBot="1">
      <c r="B85" s="67"/>
      <c r="C85" s="67"/>
      <c r="D85" s="67"/>
      <c r="E85" s="67"/>
      <c r="F85" s="67"/>
      <c r="G85" s="67"/>
      <c r="H85" s="67"/>
      <c r="I85" s="67"/>
      <c r="J85" s="67"/>
      <c r="K85" s="67"/>
      <c r="L85" s="67"/>
    </row>
    <row r="86" spans="2:21" ht="15" customHeight="1">
      <c r="B86" s="600" t="s">
        <v>159</v>
      </c>
      <c r="C86" s="601"/>
      <c r="D86" s="601"/>
      <c r="E86" s="601"/>
      <c r="F86" s="601"/>
      <c r="G86" s="601"/>
      <c r="H86" s="601"/>
      <c r="I86" s="601"/>
      <c r="J86" s="601"/>
      <c r="K86" s="602"/>
      <c r="L86" s="67"/>
    </row>
    <row r="87" spans="2:21" ht="16" customHeight="1">
      <c r="B87" s="626"/>
      <c r="C87" s="627"/>
      <c r="D87" s="627"/>
      <c r="E87" s="627"/>
      <c r="F87" s="627"/>
      <c r="G87" s="627"/>
      <c r="H87" s="627"/>
      <c r="I87" s="627"/>
      <c r="J87" s="627"/>
      <c r="K87" s="628"/>
      <c r="L87" s="67"/>
    </row>
    <row r="88" spans="2:21" ht="20" customHeight="1">
      <c r="B88" s="626"/>
      <c r="C88" s="627"/>
      <c r="D88" s="627"/>
      <c r="E88" s="627"/>
      <c r="F88" s="627"/>
      <c r="G88" s="627"/>
      <c r="H88" s="627"/>
      <c r="I88" s="627"/>
      <c r="J88" s="627"/>
      <c r="K88" s="628"/>
    </row>
    <row r="89" spans="2:21" ht="22" customHeight="1">
      <c r="B89" s="626"/>
      <c r="C89" s="627"/>
      <c r="D89" s="627"/>
      <c r="E89" s="627"/>
      <c r="F89" s="627"/>
      <c r="G89" s="627"/>
      <c r="H89" s="627"/>
      <c r="I89" s="627"/>
      <c r="J89" s="627"/>
      <c r="K89" s="628"/>
    </row>
    <row r="90" spans="2:21" ht="47" customHeight="1" thickBot="1">
      <c r="B90" s="603"/>
      <c r="C90" s="604"/>
      <c r="D90" s="604"/>
      <c r="E90" s="604"/>
      <c r="F90" s="604"/>
      <c r="G90" s="604"/>
      <c r="H90" s="604"/>
      <c r="I90" s="604"/>
      <c r="J90" s="604"/>
      <c r="K90" s="605"/>
    </row>
    <row r="91" spans="2:21" ht="92" customHeight="1">
      <c r="B91" s="320" t="str">
        <f>'DETAILED MODELLER - PERSON 1'!C131</f>
        <v>Year</v>
      </c>
      <c r="C91" s="321" t="s">
        <v>88</v>
      </c>
      <c r="D91" s="321" t="str">
        <f>'DETAILED MODELLER - PERSON 1'!D131</f>
        <v>Historical RPI and Future Forecast RPI</v>
      </c>
      <c r="E91" s="322" t="s">
        <v>262</v>
      </c>
      <c r="F91" s="323" t="str">
        <f>'DETAILED MODELLER - PERSON 1'!E131</f>
        <v>Pension Value</v>
      </c>
      <c r="G91" s="324" t="str">
        <f>'DETAILED MODELLER - PERSON 1'!F131</f>
        <v>Pension with RPI applied</v>
      </c>
      <c r="H91" s="324" t="str">
        <f>'DETAILED MODELLER - PERSON 1'!G131</f>
        <v xml:space="preserve"> Shortfall Against RPI INCREASES</v>
      </c>
      <c r="I91" s="325" t="str">
        <f>'DETAILED MODELLER - PERSON 1'!H131</f>
        <v>Your Pension Buying Power</v>
      </c>
      <c r="J91" s="326" t="str">
        <f>'DETAILED MODELLER - PERSON 1'!I131</f>
        <v>Cumulative Shortfall against RPI Pension</v>
      </c>
      <c r="K91" s="327" t="str">
        <f>I91</f>
        <v>Your Pension Buying Power</v>
      </c>
    </row>
    <row r="92" spans="2:21" ht="111" customHeight="1" thickBot="1">
      <c r="B92" s="328"/>
      <c r="C92" s="329"/>
      <c r="D92" s="330"/>
      <c r="E92" s="482" t="s">
        <v>301</v>
      </c>
      <c r="F92" s="382" t="s">
        <v>302</v>
      </c>
      <c r="G92" s="483" t="s">
        <v>95</v>
      </c>
      <c r="H92" s="483" t="s">
        <v>96</v>
      </c>
      <c r="I92" s="484" t="s">
        <v>97</v>
      </c>
      <c r="J92" s="485" t="s">
        <v>303</v>
      </c>
      <c r="K92" s="381" t="s">
        <v>170</v>
      </c>
    </row>
    <row r="93" spans="2:21" ht="19">
      <c r="B93" s="197">
        <f>'DETAILED MODELLER - PERSON 1'!C133</f>
        <v>2017</v>
      </c>
      <c r="C93" s="207">
        <f>'DETAILED MODELLER - PERSON 1'!D18</f>
        <v>62</v>
      </c>
      <c r="D93" s="193">
        <f>'DETAILED MODELLER - PERSON 1'!D133</f>
        <v>2.5999999999999999E-2</v>
      </c>
      <c r="E93" s="411">
        <f>'DETAILED MODELLER - PERSON 1'!M18</f>
        <v>1.5072463768115941E-3</v>
      </c>
      <c r="F93" s="208">
        <f>'DETAILED MODELLER - PERSON 1'!E133</f>
        <v>15061.281464530892</v>
      </c>
      <c r="G93" s="209">
        <f>'DETAILED MODELLER - PERSON 1'!F133</f>
        <v>15390</v>
      </c>
      <c r="H93" s="356">
        <f>'DETAILED MODELLER - PERSON 1'!G133</f>
        <v>-328.71853546910825</v>
      </c>
      <c r="I93" s="210">
        <f>'DETAILED MODELLER - PERSON 1'!H133</f>
        <v>14732.562929061784</v>
      </c>
      <c r="J93" s="359">
        <f>'DETAILED MODELLER - PERSON 1'!I133</f>
        <v>-328.71853546910825</v>
      </c>
      <c r="K93" s="331">
        <f>I93/F93</f>
        <v>0.97817459714545296</v>
      </c>
    </row>
    <row r="94" spans="2:21" ht="19">
      <c r="B94" s="194">
        <f>'DETAILED MODELLER - PERSON 1'!C134</f>
        <v>2018</v>
      </c>
      <c r="C94" s="204">
        <f>'DETAILED MODELLER - PERSON 1'!D19</f>
        <v>63</v>
      </c>
      <c r="D94" s="192">
        <f>'DETAILED MODELLER - PERSON 1'!D134</f>
        <v>0.04</v>
      </c>
      <c r="E94" s="412">
        <f>'DETAILED MODELLER - PERSON 1'!M19</f>
        <v>2.3188405797101449E-3</v>
      </c>
      <c r="F94" s="164">
        <f>'DETAILED MODELLER - PERSON 1'!E134</f>
        <v>15155.945811798423</v>
      </c>
      <c r="G94" s="211">
        <f>'DETAILED MODELLER - PERSON 1'!F134</f>
        <v>16005.6</v>
      </c>
      <c r="H94" s="357">
        <f>'DETAILED MODELLER - PERSON 1'!G134</f>
        <v>-849.6541882015772</v>
      </c>
      <c r="I94" s="212">
        <f>'DETAILED MODELLER - PERSON 1'!H134</f>
        <v>14306.291623596846</v>
      </c>
      <c r="J94" s="360">
        <f>'DETAILED MODELLER - PERSON 1'!I134</f>
        <v>-1178.3727236706854</v>
      </c>
      <c r="K94" s="332">
        <f t="shared" ref="K94:K122" si="0">I94/F94</f>
        <v>0.94393921707346373</v>
      </c>
    </row>
    <row r="95" spans="2:21" ht="19">
      <c r="B95" s="194">
        <f>'DETAILED MODELLER - PERSON 1'!C135</f>
        <v>2019</v>
      </c>
      <c r="C95" s="204">
        <f>'DETAILED MODELLER - PERSON 1'!D20</f>
        <v>64</v>
      </c>
      <c r="D95" s="192">
        <f>'DETAILED MODELLER - PERSON 1'!D135</f>
        <v>2.5399999999999999E-2</v>
      </c>
      <c r="E95" s="412">
        <f>'DETAILED MODELLER - PERSON 1'!M20</f>
        <v>1.4724637681159418E-3</v>
      </c>
      <c r="F95" s="164">
        <f>'DETAILED MODELLER - PERSON 1'!E135</f>
        <v>15216.435492092591</v>
      </c>
      <c r="G95" s="211">
        <f>'DETAILED MODELLER - PERSON 1'!F135</f>
        <v>16412.142240000001</v>
      </c>
      <c r="H95" s="357">
        <f>'DETAILED MODELLER - PERSON 1'!G135</f>
        <v>-1195.7067479074103</v>
      </c>
      <c r="I95" s="212">
        <f>'DETAILED MODELLER - PERSON 1'!H135</f>
        <v>14020.72874418518</v>
      </c>
      <c r="J95" s="360">
        <f>'DETAILED MODELLER - PERSON 1'!I135</f>
        <v>-2374.0794715780958</v>
      </c>
      <c r="K95" s="332">
        <f t="shared" si="0"/>
        <v>0.92142004948998901</v>
      </c>
    </row>
    <row r="96" spans="2:21" ht="19">
      <c r="B96" s="194">
        <f>'DETAILED MODELLER - PERSON 1'!C136</f>
        <v>2020</v>
      </c>
      <c r="C96" s="204">
        <f>'DETAILED MODELLER - PERSON 1'!D21</f>
        <v>65</v>
      </c>
      <c r="D96" s="192">
        <f>'DETAILED MODELLER - PERSON 1'!D136</f>
        <v>2.69E-2</v>
      </c>
      <c r="E96" s="412">
        <f>'DETAILED MODELLER - PERSON 1'!M21</f>
        <v>1.5594202898550724E-3</v>
      </c>
      <c r="F96" s="164">
        <f>'DETAILED MODELLER - PERSON 1'!E136</f>
        <v>15280.753078389984</v>
      </c>
      <c r="G96" s="211">
        <f>'DETAILED MODELLER - PERSON 1'!F136</f>
        <v>16853.628866256</v>
      </c>
      <c r="H96" s="357">
        <f>'DETAILED MODELLER - PERSON 1'!G136</f>
        <v>-1572.8757878660163</v>
      </c>
      <c r="I96" s="212">
        <f>'DETAILED MODELLER - PERSON 1'!H136</f>
        <v>13707.877290523968</v>
      </c>
      <c r="J96" s="360">
        <f>'DETAILED MODELLER - PERSON 1'!I136</f>
        <v>-3946.955259444112</v>
      </c>
      <c r="K96" s="332">
        <f t="shared" si="0"/>
        <v>0.89706817590748356</v>
      </c>
    </row>
    <row r="97" spans="2:11" ht="19">
      <c r="B97" s="194">
        <f>'DETAILED MODELLER - PERSON 1'!C137</f>
        <v>2021</v>
      </c>
      <c r="C97" s="204">
        <f>'DETAILED MODELLER - PERSON 1'!D22</f>
        <v>66</v>
      </c>
      <c r="D97" s="192">
        <f>'DETAILED MODELLER - PERSON 1'!D137</f>
        <v>0.02</v>
      </c>
      <c r="E97" s="412">
        <f>'DETAILED MODELLER - PERSON 1'!M22</f>
        <v>1.1594202898550724E-3</v>
      </c>
      <c r="F97" s="164">
        <f>'DETAILED MODELLER - PERSON 1'!E137</f>
        <v>15328.774972122224</v>
      </c>
      <c r="G97" s="211">
        <f>'DETAILED MODELLER - PERSON 1'!F137</f>
        <v>17190.701443581122</v>
      </c>
      <c r="H97" s="357">
        <f>'DETAILED MODELLER - PERSON 1'!G137</f>
        <v>-1861.9264714588971</v>
      </c>
      <c r="I97" s="212">
        <f>'DETAILED MODELLER - PERSON 1'!H137</f>
        <v>13466.848500663327</v>
      </c>
      <c r="J97" s="360">
        <f>'DETAILED MODELLER - PERSON 1'!I137</f>
        <v>-5808.8817309030092</v>
      </c>
      <c r="K97" s="332">
        <f t="shared" si="0"/>
        <v>0.87853390275184406</v>
      </c>
    </row>
    <row r="98" spans="2:11" ht="19">
      <c r="B98" s="194">
        <f>'DETAILED MODELLER - PERSON 1'!C138</f>
        <v>2022</v>
      </c>
      <c r="C98" s="204">
        <f>'DETAILED MODELLER - PERSON 1'!D23</f>
        <v>67</v>
      </c>
      <c r="D98" s="192">
        <f>'DETAILED MODELLER - PERSON 1'!D138</f>
        <v>0.02</v>
      </c>
      <c r="E98" s="412">
        <f>'DETAILED MODELLER - PERSON 1'!M23</f>
        <v>1.1594202898550724E-3</v>
      </c>
      <c r="F98" s="164">
        <f>'DETAILED MODELLER - PERSON 1'!E138</f>
        <v>15376.947781340488</v>
      </c>
      <c r="G98" s="211">
        <f>'DETAILED MODELLER - PERSON 1'!F138</f>
        <v>17534.515472452746</v>
      </c>
      <c r="H98" s="357">
        <f>'DETAILED MODELLER - PERSON 1'!G138</f>
        <v>-2157.5676911122573</v>
      </c>
      <c r="I98" s="212">
        <f>'DETAILED MODELLER - PERSON 1'!H138</f>
        <v>13219.380090228231</v>
      </c>
      <c r="J98" s="360">
        <f>'DETAILED MODELLER - PERSON 1'!I138</f>
        <v>-7966.4494220152665</v>
      </c>
      <c r="K98" s="332">
        <f t="shared" si="0"/>
        <v>0.8596881694733719</v>
      </c>
    </row>
    <row r="99" spans="2:11" ht="19">
      <c r="B99" s="194">
        <f>'DETAILED MODELLER - PERSON 1'!C139</f>
        <v>2023</v>
      </c>
      <c r="C99" s="204">
        <f>'DETAILED MODELLER - PERSON 1'!D24</f>
        <v>68</v>
      </c>
      <c r="D99" s="192">
        <f>'DETAILED MODELLER - PERSON 1'!D139</f>
        <v>0.02</v>
      </c>
      <c r="E99" s="412">
        <f>'DETAILED MODELLER - PERSON 1'!M24</f>
        <v>1.1594202898550724E-3</v>
      </c>
      <c r="F99" s="164">
        <f>'DETAILED MODELLER - PERSON 1'!E139</f>
        <v>15425.271980317699</v>
      </c>
      <c r="G99" s="211">
        <f>'DETAILED MODELLER - PERSON 1'!F139</f>
        <v>17885.205781901801</v>
      </c>
      <c r="H99" s="357">
        <f>'DETAILED MODELLER - PERSON 1'!G139</f>
        <v>-2459.9338015841022</v>
      </c>
      <c r="I99" s="212">
        <f>'DETAILED MODELLER - PERSON 1'!H139</f>
        <v>12965.338178733597</v>
      </c>
      <c r="J99" s="360">
        <f>'DETAILED MODELLER - PERSON 1'!I139</f>
        <v>-10426.383223599369</v>
      </c>
      <c r="K99" s="332">
        <f t="shared" si="0"/>
        <v>0.84052574212481168</v>
      </c>
    </row>
    <row r="100" spans="2:11" ht="19">
      <c r="B100" s="194">
        <f>'DETAILED MODELLER - PERSON 1'!C140</f>
        <v>2024</v>
      </c>
      <c r="C100" s="204">
        <f>'DETAILED MODELLER - PERSON 1'!D25</f>
        <v>69</v>
      </c>
      <c r="D100" s="192">
        <f>'DETAILED MODELLER - PERSON 1'!D140</f>
        <v>0.02</v>
      </c>
      <c r="E100" s="412">
        <f>'DETAILED MODELLER - PERSON 1'!M25</f>
        <v>1.1594202898550724E-3</v>
      </c>
      <c r="F100" s="164">
        <f>'DETAILED MODELLER - PERSON 1'!E140</f>
        <v>15473.748044817248</v>
      </c>
      <c r="G100" s="211">
        <f>'DETAILED MODELLER - PERSON 1'!F140</f>
        <v>18242.909897539837</v>
      </c>
      <c r="H100" s="357">
        <f>'DETAILED MODELLER - PERSON 1'!G140</f>
        <v>-2769.1618527225892</v>
      </c>
      <c r="I100" s="212">
        <f>'DETAILED MODELLER - PERSON 1'!H140</f>
        <v>12704.586192094659</v>
      </c>
      <c r="J100" s="360">
        <f>'DETAILED MODELLER - PERSON 1'!I140</f>
        <v>-13195.545076321958</v>
      </c>
      <c r="K100" s="332">
        <f t="shared" si="0"/>
        <v>0.82104129880477872</v>
      </c>
    </row>
    <row r="101" spans="2:11" ht="19">
      <c r="B101" s="194">
        <f>'DETAILED MODELLER - PERSON 1'!C141</f>
        <v>2025</v>
      </c>
      <c r="C101" s="204">
        <f>'DETAILED MODELLER - PERSON 1'!D26</f>
        <v>70</v>
      </c>
      <c r="D101" s="192">
        <f>'DETAILED MODELLER - PERSON 1'!D141</f>
        <v>0.02</v>
      </c>
      <c r="E101" s="412">
        <f>'DETAILED MODELLER - PERSON 1'!M26</f>
        <v>1.1594202898550724E-3</v>
      </c>
      <c r="F101" s="164">
        <f>'DETAILED MODELLER - PERSON 1'!E141</f>
        <v>15522.37645209768</v>
      </c>
      <c r="G101" s="211">
        <f>'DETAILED MODELLER - PERSON 1'!F141</f>
        <v>18607.768095490635</v>
      </c>
      <c r="H101" s="357">
        <f>'DETAILED MODELLER - PERSON 1'!G141</f>
        <v>-3085.3916433929553</v>
      </c>
      <c r="I101" s="212">
        <f>'DETAILED MODELLER - PERSON 1'!H141</f>
        <v>12436.984808704725</v>
      </c>
      <c r="J101" s="360">
        <f>'DETAILED MODELLER - PERSON 1'!I141</f>
        <v>-16280.936719714913</v>
      </c>
      <c r="K101" s="332">
        <f t="shared" si="0"/>
        <v>0.80122942817972964</v>
      </c>
    </row>
    <row r="102" spans="2:11" ht="19">
      <c r="B102" s="194">
        <f>'DETAILED MODELLER - PERSON 1'!C142</f>
        <v>2026</v>
      </c>
      <c r="C102" s="204">
        <f>'DETAILED MODELLER - PERSON 1'!D27</f>
        <v>71</v>
      </c>
      <c r="D102" s="192">
        <f>'DETAILED MODELLER - PERSON 1'!D142</f>
        <v>0.02</v>
      </c>
      <c r="E102" s="412">
        <f>'DETAILED MODELLER - PERSON 1'!M27</f>
        <v>1.1594202898550724E-3</v>
      </c>
      <c r="F102" s="164">
        <f>'DETAILED MODELLER - PERSON 1'!E142</f>
        <v>15571.157680917393</v>
      </c>
      <c r="G102" s="211">
        <f>'DETAILED MODELLER - PERSON 1'!F142</f>
        <v>18979.923457400448</v>
      </c>
      <c r="H102" s="357">
        <f>'DETAILED MODELLER - PERSON 1'!G142</f>
        <v>-3408.7657764830547</v>
      </c>
      <c r="I102" s="212">
        <f>'DETAILED MODELLER - PERSON 1'!H142</f>
        <v>12162.391904434338</v>
      </c>
      <c r="J102" s="360">
        <f>'DETAILED MODELLER - PERSON 1'!I142</f>
        <v>-19689.70249619797</v>
      </c>
      <c r="K102" s="332">
        <f t="shared" si="0"/>
        <v>0.78108462798109546</v>
      </c>
    </row>
    <row r="103" spans="2:11" ht="19">
      <c r="B103" s="194">
        <f>'DETAILED MODELLER - PERSON 1'!C143</f>
        <v>2027</v>
      </c>
      <c r="C103" s="204">
        <f>'DETAILED MODELLER - PERSON 1'!D28</f>
        <v>72</v>
      </c>
      <c r="D103" s="192">
        <f>'DETAILED MODELLER - PERSON 1'!D143</f>
        <v>0.02</v>
      </c>
      <c r="E103" s="412">
        <f>'DETAILED MODELLER - PERSON 1'!M28</f>
        <v>1.1594202898550724E-3</v>
      </c>
      <c r="F103" s="164">
        <f>'DETAILED MODELLER - PERSON 1'!E143</f>
        <v>15620.092211539346</v>
      </c>
      <c r="G103" s="211">
        <f>'DETAILED MODELLER - PERSON 1'!F143</f>
        <v>19359.521926548456</v>
      </c>
      <c r="H103" s="357">
        <f>'DETAILED MODELLER - PERSON 1'!G143</f>
        <v>-3739.4297150091097</v>
      </c>
      <c r="I103" s="212">
        <f>'DETAILED MODELLER - PERSON 1'!H143</f>
        <v>11880.662496530236</v>
      </c>
      <c r="J103" s="360">
        <f>'DETAILED MODELLER - PERSON 1'!I143</f>
        <v>-23429.132211207077</v>
      </c>
      <c r="K103" s="332">
        <f t="shared" si="0"/>
        <v>0.76060130347715837</v>
      </c>
    </row>
    <row r="104" spans="2:11" ht="19">
      <c r="B104" s="194">
        <f>'DETAILED MODELLER - PERSON 1'!C144</f>
        <v>2028</v>
      </c>
      <c r="C104" s="204">
        <f>'DETAILED MODELLER - PERSON 1'!D29</f>
        <v>73</v>
      </c>
      <c r="D104" s="192">
        <f>'DETAILED MODELLER - PERSON 1'!D144</f>
        <v>0.02</v>
      </c>
      <c r="E104" s="412">
        <f>'DETAILED MODELLER - PERSON 1'!M29</f>
        <v>1.1594202898550724E-3</v>
      </c>
      <c r="F104" s="164">
        <f>'DETAILED MODELLER - PERSON 1'!E144</f>
        <v>15669.180525735794</v>
      </c>
      <c r="G104" s="211">
        <f>'DETAILED MODELLER - PERSON 1'!F144</f>
        <v>19746.712365079424</v>
      </c>
      <c r="H104" s="357">
        <f>'DETAILED MODELLER - PERSON 1'!G144</f>
        <v>-4077.5318393436301</v>
      </c>
      <c r="I104" s="212">
        <f>'DETAILED MODELLER - PERSON 1'!H144</f>
        <v>11591.648686392164</v>
      </c>
      <c r="J104" s="360">
        <f>'DETAILED MODELLER - PERSON 1'!I144</f>
        <v>-27506.664050550709</v>
      </c>
      <c r="K104" s="332">
        <f t="shared" si="0"/>
        <v>0.73977376591925137</v>
      </c>
    </row>
    <row r="105" spans="2:11" ht="19">
      <c r="B105" s="194">
        <f>'DETAILED MODELLER - PERSON 1'!C145</f>
        <v>2029</v>
      </c>
      <c r="C105" s="204">
        <f>'DETAILED MODELLER - PERSON 1'!D30</f>
        <v>74</v>
      </c>
      <c r="D105" s="192">
        <f>'DETAILED MODELLER - PERSON 1'!D145</f>
        <v>0.02</v>
      </c>
      <c r="E105" s="412">
        <f>'DETAILED MODELLER - PERSON 1'!M30</f>
        <v>1.1594202898550724E-3</v>
      </c>
      <c r="F105" s="164">
        <f>'DETAILED MODELLER - PERSON 1'!E145</f>
        <v>15718.423106793027</v>
      </c>
      <c r="G105" s="211">
        <f>'DETAILED MODELLER - PERSON 1'!F145</f>
        <v>20141.646612381013</v>
      </c>
      <c r="H105" s="357">
        <f>'DETAILED MODELLER - PERSON 1'!G145</f>
        <v>-4423.2235055879864</v>
      </c>
      <c r="I105" s="212">
        <f>'DETAILED MODELLER - PERSON 1'!H145</f>
        <v>11295.19960120504</v>
      </c>
      <c r="J105" s="360">
        <f>'DETAILED MODELLER - PERSON 1'!I145</f>
        <v>-31929.887556138696</v>
      </c>
      <c r="K105" s="332">
        <f t="shared" si="0"/>
        <v>0.71859623096184477</v>
      </c>
    </row>
    <row r="106" spans="2:11" ht="19">
      <c r="B106" s="194">
        <f>'DETAILED MODELLER - PERSON 1'!C146</f>
        <v>2030</v>
      </c>
      <c r="C106" s="204">
        <f>'DETAILED MODELLER - PERSON 1'!D31</f>
        <v>75</v>
      </c>
      <c r="D106" s="192">
        <f>'DETAILED MODELLER - PERSON 1'!D146</f>
        <v>0.02</v>
      </c>
      <c r="E106" s="412">
        <f>'DETAILED MODELLER - PERSON 1'!M31</f>
        <v>1.1594202898550724E-3</v>
      </c>
      <c r="F106" s="164">
        <f>'DETAILED MODELLER - PERSON 1'!E146</f>
        <v>15767.82043951613</v>
      </c>
      <c r="G106" s="211">
        <f>'DETAILED MODELLER - PERSON 1'!F146</f>
        <v>20544.479544628633</v>
      </c>
      <c r="H106" s="357">
        <f>'DETAILED MODELLER - PERSON 1'!G146</f>
        <v>-4776.6591051125033</v>
      </c>
      <c r="I106" s="212">
        <f>'DETAILED MODELLER - PERSON 1'!H146</f>
        <v>10991.161334403627</v>
      </c>
      <c r="J106" s="360">
        <f>'DETAILED MODELLER - PERSON 1'!I146</f>
        <v>-36706.546661251195</v>
      </c>
      <c r="K106" s="332">
        <f t="shared" si="0"/>
        <v>0.69706281705608475</v>
      </c>
    </row>
    <row r="107" spans="2:11" ht="19">
      <c r="B107" s="194">
        <f>'DETAILED MODELLER - PERSON 1'!C147</f>
        <v>2031</v>
      </c>
      <c r="C107" s="204">
        <f>'DETAILED MODELLER - PERSON 1'!D32</f>
        <v>76</v>
      </c>
      <c r="D107" s="192">
        <f>'DETAILED MODELLER - PERSON 1'!D147</f>
        <v>0.02</v>
      </c>
      <c r="E107" s="412">
        <f>'DETAILED MODELLER - PERSON 1'!M32</f>
        <v>1.1594202898550724E-3</v>
      </c>
      <c r="F107" s="164">
        <f>'DETAILED MODELLER - PERSON 1'!E147</f>
        <v>15817.373010233756</v>
      </c>
      <c r="G107" s="211">
        <f>'DETAILED MODELLER - PERSON 1'!F147</f>
        <v>20955.369135521207</v>
      </c>
      <c r="H107" s="357">
        <f>'DETAILED MODELLER - PERSON 1'!G147</f>
        <v>-5137.9961252874509</v>
      </c>
      <c r="I107" s="212">
        <f>'DETAILED MODELLER - PERSON 1'!H147</f>
        <v>10679.376884946305</v>
      </c>
      <c r="J107" s="360">
        <f>'DETAILED MODELLER - PERSON 1'!I147</f>
        <v>-41844.542786538645</v>
      </c>
      <c r="K107" s="332">
        <f t="shared" si="0"/>
        <v>0.67516754381633448</v>
      </c>
    </row>
    <row r="108" spans="2:11" ht="19">
      <c r="B108" s="194">
        <f>'DETAILED MODELLER - PERSON 1'!C148</f>
        <v>2032</v>
      </c>
      <c r="C108" s="204">
        <f>'DETAILED MODELLER - PERSON 1'!D33</f>
        <v>77</v>
      </c>
      <c r="D108" s="192">
        <f>'DETAILED MODELLER - PERSON 1'!D148</f>
        <v>0.02</v>
      </c>
      <c r="E108" s="412">
        <f>'DETAILED MODELLER - PERSON 1'!M33</f>
        <v>1.1594202898550724E-3</v>
      </c>
      <c r="F108" s="164">
        <f>'DETAILED MODELLER - PERSON 1'!E148</f>
        <v>15867.081306802911</v>
      </c>
      <c r="G108" s="211">
        <f>'DETAILED MODELLER - PERSON 1'!F148</f>
        <v>21374.47651823163</v>
      </c>
      <c r="H108" s="357">
        <f>'DETAILED MODELLER - PERSON 1'!G148</f>
        <v>-5507.3952114287185</v>
      </c>
      <c r="I108" s="212">
        <f>'DETAILED MODELLER - PERSON 1'!H148</f>
        <v>10359.686095374193</v>
      </c>
      <c r="J108" s="360">
        <f>'DETAILED MODELLER - PERSON 1'!I148</f>
        <v>-47351.937997967361</v>
      </c>
      <c r="K108" s="332">
        <f t="shared" si="0"/>
        <v>0.65290433035926665</v>
      </c>
    </row>
    <row r="109" spans="2:11" ht="19">
      <c r="B109" s="194">
        <f>'DETAILED MODELLER - PERSON 1'!C149</f>
        <v>2033</v>
      </c>
      <c r="C109" s="204">
        <f>'DETAILED MODELLER - PERSON 1'!D34</f>
        <v>78</v>
      </c>
      <c r="D109" s="192">
        <f>'DETAILED MODELLER - PERSON 1'!D149</f>
        <v>0.02</v>
      </c>
      <c r="E109" s="412">
        <f>'DETAILED MODELLER - PERSON 1'!M34</f>
        <v>1.1594202898550724E-3</v>
      </c>
      <c r="F109" s="164">
        <f>'DETAILED MODELLER - PERSON 1'!E149</f>
        <v>15916.945818613764</v>
      </c>
      <c r="G109" s="211">
        <f>'DETAILED MODELLER - PERSON 1'!F149</f>
        <v>21801.966048596263</v>
      </c>
      <c r="H109" s="357">
        <f>'DETAILED MODELLER - PERSON 1'!G149</f>
        <v>-5885.0202299824996</v>
      </c>
      <c r="I109" s="212">
        <f>'DETAILED MODELLER - PERSON 1'!H149</f>
        <v>10031.925588631264</v>
      </c>
      <c r="J109" s="360">
        <f>'DETAILED MODELLER - PERSON 1'!I149</f>
        <v>-53236.958227949857</v>
      </c>
      <c r="K109" s="332">
        <f t="shared" si="0"/>
        <v>0.63026699361504535</v>
      </c>
    </row>
    <row r="110" spans="2:11" ht="19">
      <c r="B110" s="194">
        <f>'DETAILED MODELLER - PERSON 1'!C150</f>
        <v>2034</v>
      </c>
      <c r="C110" s="204">
        <f>'DETAILED MODELLER - PERSON 1'!D35</f>
        <v>79</v>
      </c>
      <c r="D110" s="192">
        <f>'DETAILED MODELLER - PERSON 1'!D150</f>
        <v>0.02</v>
      </c>
      <c r="E110" s="412">
        <f>'DETAILED MODELLER - PERSON 1'!M35</f>
        <v>1.1594202898550724E-3</v>
      </c>
      <c r="F110" s="164">
        <f>'DETAILED MODELLER - PERSON 1'!E150</f>
        <v>15966.967036594457</v>
      </c>
      <c r="G110" s="211">
        <f>'DETAILED MODELLER - PERSON 1'!F150</f>
        <v>22238.005369568189</v>
      </c>
      <c r="H110" s="357">
        <f>'DETAILED MODELLER - PERSON 1'!G150</f>
        <v>-6271.0383329737324</v>
      </c>
      <c r="I110" s="212">
        <f>'DETAILED MODELLER - PERSON 1'!H150</f>
        <v>9695.9287036207243</v>
      </c>
      <c r="J110" s="360">
        <f>'DETAILED MODELLER - PERSON 1'!I150</f>
        <v>-59507.996560923588</v>
      </c>
      <c r="K110" s="332">
        <f t="shared" si="0"/>
        <v>0.60724924661012747</v>
      </c>
    </row>
    <row r="111" spans="2:11" ht="19">
      <c r="B111" s="194">
        <f>'DETAILED MODELLER - PERSON 1'!C151</f>
        <v>2035</v>
      </c>
      <c r="C111" s="204">
        <f>'DETAILED MODELLER - PERSON 1'!D36</f>
        <v>80</v>
      </c>
      <c r="D111" s="192">
        <f>'DETAILED MODELLER - PERSON 1'!D151</f>
        <v>0.02</v>
      </c>
      <c r="E111" s="412">
        <f>'DETAILED MODELLER - PERSON 1'!M36</f>
        <v>1.1594202898550724E-3</v>
      </c>
      <c r="F111" s="164">
        <f>'DETAILED MODELLER - PERSON 1'!E151</f>
        <v>16017.145453215944</v>
      </c>
      <c r="G111" s="211">
        <f>'DETAILED MODELLER - PERSON 1'!F151</f>
        <v>22682.765476959554</v>
      </c>
      <c r="H111" s="357">
        <f>'DETAILED MODELLER - PERSON 1'!G151</f>
        <v>-6665.6200237436096</v>
      </c>
      <c r="I111" s="212">
        <f>'DETAILED MODELLER - PERSON 1'!H151</f>
        <v>9351.5254294723345</v>
      </c>
      <c r="J111" s="360">
        <f>'DETAILED MODELLER - PERSON 1'!I151</f>
        <v>-66173.616584667194</v>
      </c>
      <c r="K111" s="332">
        <f t="shared" si="0"/>
        <v>0.58384469672120776</v>
      </c>
    </row>
    <row r="112" spans="2:11" ht="19">
      <c r="B112" s="194">
        <f>'DETAILED MODELLER - PERSON 1'!C152</f>
        <v>2036</v>
      </c>
      <c r="C112" s="204">
        <f>'DETAILED MODELLER - PERSON 1'!D37</f>
        <v>81</v>
      </c>
      <c r="D112" s="192">
        <f>'DETAILED MODELLER - PERSON 1'!D152</f>
        <v>0.02</v>
      </c>
      <c r="E112" s="412">
        <f>'DETAILED MODELLER - PERSON 1'!M37</f>
        <v>1.1594202898550724E-3</v>
      </c>
      <c r="F112" s="164">
        <f>'DETAILED MODELLER - PERSON 1'!E152</f>
        <v>16067.481562496836</v>
      </c>
      <c r="G112" s="211">
        <f>'DETAILED MODELLER - PERSON 1'!F152</f>
        <v>23136.420786498744</v>
      </c>
      <c r="H112" s="357">
        <f>'DETAILED MODELLER - PERSON 1'!G152</f>
        <v>-7068.9392240019079</v>
      </c>
      <c r="I112" s="212">
        <f>'DETAILED MODELLER - PERSON 1'!H152</f>
        <v>8998.5423384949281</v>
      </c>
      <c r="J112" s="360">
        <f>'DETAILED MODELLER - PERSON 1'!I152</f>
        <v>-73242.555808669102</v>
      </c>
      <c r="K112" s="332">
        <f t="shared" si="0"/>
        <v>0.56004684389982162</v>
      </c>
    </row>
    <row r="113" spans="2:15" ht="19">
      <c r="B113" s="194">
        <f>'DETAILED MODELLER - PERSON 1'!C153</f>
        <v>2037</v>
      </c>
      <c r="C113" s="204">
        <f>'DETAILED MODELLER - PERSON 1'!D38</f>
        <v>82</v>
      </c>
      <c r="D113" s="192">
        <f>'DETAILED MODELLER - PERSON 1'!D153</f>
        <v>0.02</v>
      </c>
      <c r="E113" s="412">
        <f>'DETAILED MODELLER - PERSON 1'!M38</f>
        <v>1.1594202898550724E-3</v>
      </c>
      <c r="F113" s="164">
        <f>'DETAILED MODELLER - PERSON 1'!E153</f>
        <v>16117.975860008268</v>
      </c>
      <c r="G113" s="211">
        <f>'DETAILED MODELLER - PERSON 1'!F153</f>
        <v>23599.14920222872</v>
      </c>
      <c r="H113" s="357">
        <f>'DETAILED MODELLER - PERSON 1'!G153</f>
        <v>-7481.1733422204525</v>
      </c>
      <c r="I113" s="212">
        <f>'DETAILED MODELLER - PERSON 1'!H153</f>
        <v>8636.8025177878153</v>
      </c>
      <c r="J113" s="360">
        <f>'DETAILED MODELLER - PERSON 1'!I153</f>
        <v>-80723.729150889558</v>
      </c>
      <c r="K113" s="332">
        <f t="shared" si="0"/>
        <v>0.5358490788671143</v>
      </c>
    </row>
    <row r="114" spans="2:15" ht="19">
      <c r="B114" s="194">
        <f>'DETAILED MODELLER - PERSON 1'!C154</f>
        <v>2038</v>
      </c>
      <c r="C114" s="204">
        <f>'DETAILED MODELLER - PERSON 1'!D39</f>
        <v>83</v>
      </c>
      <c r="D114" s="192">
        <f>'DETAILED MODELLER - PERSON 1'!D154</f>
        <v>0.02</v>
      </c>
      <c r="E114" s="412">
        <f>'DETAILED MODELLER - PERSON 1'!M39</f>
        <v>1.1594202898550724E-3</v>
      </c>
      <c r="F114" s="164">
        <f>'DETAILED MODELLER - PERSON 1'!E154</f>
        <v>16168.628842878774</v>
      </c>
      <c r="G114" s="211">
        <f>'DETAILED MODELLER - PERSON 1'!F154</f>
        <v>24071.132186273295</v>
      </c>
      <c r="H114" s="357">
        <f>'DETAILED MODELLER - PERSON 1'!G154</f>
        <v>-7902.5033433945209</v>
      </c>
      <c r="I114" s="212">
        <f>'DETAILED MODELLER - PERSON 1'!H154</f>
        <v>8266.1254994842529</v>
      </c>
      <c r="J114" s="360">
        <f>'DETAILED MODELLER - PERSON 1'!I154</f>
        <v>-88626.232494284079</v>
      </c>
      <c r="K114" s="332">
        <f t="shared" si="0"/>
        <v>0.51124468127827316</v>
      </c>
    </row>
    <row r="115" spans="2:15" ht="19">
      <c r="B115" s="194">
        <f>'DETAILED MODELLER - PERSON 1'!C155</f>
        <v>2039</v>
      </c>
      <c r="C115" s="204">
        <f>'DETAILED MODELLER - PERSON 1'!D40</f>
        <v>84</v>
      </c>
      <c r="D115" s="192">
        <f>'DETAILED MODELLER - PERSON 1'!D155</f>
        <v>0.02</v>
      </c>
      <c r="E115" s="412">
        <f>'DETAILED MODELLER - PERSON 1'!M40</f>
        <v>1.1594202898550724E-3</v>
      </c>
      <c r="F115" s="164">
        <f>'DETAILED MODELLER - PERSON 1'!E155</f>
        <v>16219.441009799186</v>
      </c>
      <c r="G115" s="211">
        <f>'DETAILED MODELLER - PERSON 1'!F155</f>
        <v>24552.55482999876</v>
      </c>
      <c r="H115" s="357">
        <f>'DETAILED MODELLER - PERSON 1'!G155</f>
        <v>-8333.1138201995745</v>
      </c>
      <c r="I115" s="212">
        <f>'DETAILED MODELLER - PERSON 1'!H155</f>
        <v>7886.3271895996113</v>
      </c>
      <c r="J115" s="360">
        <f>'DETAILED MODELLER - PERSON 1'!I155</f>
        <v>-96959.346314483657</v>
      </c>
      <c r="K115" s="332">
        <f t="shared" si="0"/>
        <v>0.48622681785611382</v>
      </c>
    </row>
    <row r="116" spans="2:15" ht="19">
      <c r="B116" s="194">
        <f>'DETAILED MODELLER - PERSON 1'!C156</f>
        <v>2040</v>
      </c>
      <c r="C116" s="204">
        <f>'DETAILED MODELLER - PERSON 1'!D41</f>
        <v>85</v>
      </c>
      <c r="D116" s="192">
        <f>'DETAILED MODELLER - PERSON 1'!D156</f>
        <v>0.02</v>
      </c>
      <c r="E116" s="412">
        <f>'DETAILED MODELLER - PERSON 1'!M41</f>
        <v>1.1594202898550724E-3</v>
      </c>
      <c r="F116" s="164">
        <f>'DETAILED MODELLER - PERSON 1'!E156</f>
        <v>16270.41286102754</v>
      </c>
      <c r="G116" s="211">
        <f>'DETAILED MODELLER - PERSON 1'!F156</f>
        <v>25043.605926598735</v>
      </c>
      <c r="H116" s="357">
        <f>'DETAILED MODELLER - PERSON 1'!G156</f>
        <v>-8773.1930655711949</v>
      </c>
      <c r="I116" s="212">
        <f>'DETAILED MODELLER - PERSON 1'!H156</f>
        <v>7497.2197954563453</v>
      </c>
      <c r="J116" s="360">
        <f>'DETAILED MODELLER - PERSON 1'!I156</f>
        <v>-105732.53938005485</v>
      </c>
      <c r="K116" s="332">
        <f t="shared" si="0"/>
        <v>0.46078854049330292</v>
      </c>
    </row>
    <row r="117" spans="2:15" ht="19">
      <c r="B117" s="194">
        <f>'DETAILED MODELLER - PERSON 1'!C157</f>
        <v>2041</v>
      </c>
      <c r="C117" s="204">
        <f>'DETAILED MODELLER - PERSON 1'!D42</f>
        <v>86</v>
      </c>
      <c r="D117" s="192">
        <f>'DETAILED MODELLER - PERSON 1'!D157</f>
        <v>0.02</v>
      </c>
      <c r="E117" s="412">
        <f>'DETAILED MODELLER - PERSON 1'!M42</f>
        <v>1.1594202898550724E-3</v>
      </c>
      <c r="F117" s="164">
        <f>'DETAILED MODELLER - PERSON 1'!E157</f>
        <v>16321.544898394004</v>
      </c>
      <c r="G117" s="211">
        <f>'DETAILED MODELLER - PERSON 1'!F157</f>
        <v>25544.478045130709</v>
      </c>
      <c r="H117" s="357">
        <f>'DETAILED MODELLER - PERSON 1'!G157</f>
        <v>-9222.9331467367047</v>
      </c>
      <c r="I117" s="212">
        <f>'DETAILED MODELLER - PERSON 1'!H157</f>
        <v>7098.6117516572995</v>
      </c>
      <c r="J117" s="360">
        <f>'DETAILED MODELLER - PERSON 1'!I157</f>
        <v>-114955.47252679155</v>
      </c>
      <c r="K117" s="332">
        <f t="shared" si="0"/>
        <v>0.43492278432268894</v>
      </c>
    </row>
    <row r="118" spans="2:15" ht="19">
      <c r="B118" s="194">
        <f>'DETAILED MODELLER - PERSON 1'!C158</f>
        <v>2042</v>
      </c>
      <c r="C118" s="204">
        <f>'DETAILED MODELLER - PERSON 1'!D43</f>
        <v>87</v>
      </c>
      <c r="D118" s="192">
        <f>'DETAILED MODELLER - PERSON 1'!D158</f>
        <v>0.02</v>
      </c>
      <c r="E118" s="412">
        <f>'DETAILED MODELLER - PERSON 1'!M43</f>
        <v>1.1594202898550724E-3</v>
      </c>
      <c r="F118" s="164">
        <f>'DETAILED MODELLER - PERSON 1'!E158</f>
        <v>16372.837625305814</v>
      </c>
      <c r="G118" s="211">
        <f>'DETAILED MODELLER - PERSON 1'!F158</f>
        <v>26055.367606033324</v>
      </c>
      <c r="H118" s="357">
        <f>'DETAILED MODELLER - PERSON 1'!G158</f>
        <v>-9682.5299807275096</v>
      </c>
      <c r="I118" s="212">
        <f>'DETAILED MODELLER - PERSON 1'!H158</f>
        <v>6690.3076445783045</v>
      </c>
      <c r="J118" s="360">
        <f>'DETAILED MODELLER - PERSON 1'!I158</f>
        <v>-124638.00250751906</v>
      </c>
      <c r="K118" s="332">
        <f t="shared" si="0"/>
        <v>0.40862236575520561</v>
      </c>
    </row>
    <row r="119" spans="2:15" ht="19">
      <c r="B119" s="194">
        <f>'DETAILED MODELLER - PERSON 1'!C159</f>
        <v>2043</v>
      </c>
      <c r="C119" s="204">
        <f>'DETAILED MODELLER - PERSON 1'!D44</f>
        <v>88</v>
      </c>
      <c r="D119" s="192">
        <f>'DETAILED MODELLER - PERSON 1'!D159</f>
        <v>0.02</v>
      </c>
      <c r="E119" s="412">
        <f>'DETAILED MODELLER - PERSON 1'!M44</f>
        <v>1.1594202898550724E-3</v>
      </c>
      <c r="F119" s="164">
        <f>'DETAILED MODELLER - PERSON 1'!E159</f>
        <v>16424.291546752236</v>
      </c>
      <c r="G119" s="211">
        <f>'DETAILED MODELLER - PERSON 1'!F159</f>
        <v>26576.474958153991</v>
      </c>
      <c r="H119" s="357">
        <f>'DETAILED MODELLER - PERSON 1'!G159</f>
        <v>-10152.183411401755</v>
      </c>
      <c r="I119" s="212">
        <f>'DETAILED MODELLER - PERSON 1'!H159</f>
        <v>6272.1081353504815</v>
      </c>
      <c r="J119" s="360">
        <f>'DETAILED MODELLER - PERSON 1'!I159</f>
        <v>-134790.18591892082</v>
      </c>
      <c r="K119" s="332">
        <f t="shared" si="0"/>
        <v>0.38187998048480437</v>
      </c>
    </row>
    <row r="120" spans="2:15" ht="19">
      <c r="B120" s="194">
        <f>'DETAILED MODELLER - PERSON 1'!C160</f>
        <v>2044</v>
      </c>
      <c r="C120" s="204">
        <f>'DETAILED MODELLER - PERSON 1'!D45</f>
        <v>89</v>
      </c>
      <c r="D120" s="192">
        <f>'DETAILED MODELLER - PERSON 1'!D160</f>
        <v>0.02</v>
      </c>
      <c r="E120" s="412">
        <f>'DETAILED MODELLER - PERSON 1'!M45</f>
        <v>1.1594202898550724E-3</v>
      </c>
      <c r="F120" s="164">
        <f>'DETAILED MODELLER - PERSON 1'!E160</f>
        <v>16475.907169309536</v>
      </c>
      <c r="G120" s="211">
        <f>'DETAILED MODELLER - PERSON 1'!F160</f>
        <v>27108.004457317071</v>
      </c>
      <c r="H120" s="357">
        <f>'DETAILED MODELLER - PERSON 1'!G160</f>
        <v>-10632.097288007535</v>
      </c>
      <c r="I120" s="212">
        <f>'DETAILED MODELLER - PERSON 1'!H160</f>
        <v>5843.8098813020006</v>
      </c>
      <c r="J120" s="360">
        <f>'DETAILED MODELLER - PERSON 1'!I160</f>
        <v>-145422.28320692835</v>
      </c>
      <c r="K120" s="332">
        <f t="shared" si="0"/>
        <v>0.3546882014598593</v>
      </c>
    </row>
    <row r="121" spans="2:15" ht="19">
      <c r="B121" s="194">
        <f>'DETAILED MODELLER - PERSON 1'!C161</f>
        <v>2045</v>
      </c>
      <c r="C121" s="204">
        <f>'DETAILED MODELLER - PERSON 1'!D46</f>
        <v>90</v>
      </c>
      <c r="D121" s="192">
        <f>'DETAILED MODELLER - PERSON 1'!D161</f>
        <v>0.02</v>
      </c>
      <c r="E121" s="412">
        <f>'DETAILED MODELLER - PERSON 1'!M46</f>
        <v>1.1594202898550724E-3</v>
      </c>
      <c r="F121" s="164">
        <f>'DETAILED MODELLER - PERSON 1'!E161</f>
        <v>16527.685001145961</v>
      </c>
      <c r="G121" s="211">
        <f>'DETAILED MODELLER - PERSON 1'!F161</f>
        <v>27650.164546463413</v>
      </c>
      <c r="H121" s="357">
        <f>'DETAILED MODELLER - PERSON 1'!G161</f>
        <v>-11122.479545317452</v>
      </c>
      <c r="I121" s="212">
        <f>'DETAILED MODELLER - PERSON 1'!H161</f>
        <v>5405.205455828509</v>
      </c>
      <c r="J121" s="360">
        <f>'DETAILED MODELLER - PERSON 1'!I161</f>
        <v>-156544.76275224579</v>
      </c>
      <c r="K121" s="332">
        <f t="shared" si="0"/>
        <v>0.3270394768204824</v>
      </c>
    </row>
    <row r="122" spans="2:15" ht="20" thickBot="1">
      <c r="B122" s="195">
        <f>'DETAILED MODELLER - PERSON 1'!C162</f>
        <v>2046</v>
      </c>
      <c r="C122" s="319">
        <f>'DETAILED MODELLER - PERSON 1'!D47</f>
        <v>91</v>
      </c>
      <c r="D122" s="196">
        <f>'DETAILED MODELLER - PERSON 1'!D162</f>
        <v>0.02</v>
      </c>
      <c r="E122" s="413">
        <f>'DETAILED MODELLER - PERSON 1'!M47</f>
        <v>1.1594202898550724E-3</v>
      </c>
      <c r="F122" s="213">
        <f>'DETAILED MODELLER - PERSON 1'!E162</f>
        <v>16579.625552026755</v>
      </c>
      <c r="G122" s="214">
        <f>'DETAILED MODELLER - PERSON 1'!F162</f>
        <v>28203.167837392681</v>
      </c>
      <c r="H122" s="358">
        <f>'DETAILED MODELLER - PERSON 1'!G162</f>
        <v>-11623.542285365926</v>
      </c>
      <c r="I122" s="215">
        <f>'DETAILED MODELLER - PERSON 1'!H162</f>
        <v>4956.0832666608294</v>
      </c>
      <c r="J122" s="361">
        <f>'DETAILED MODELLER - PERSON 1'!I162</f>
        <v>-168168.30503761172</v>
      </c>
      <c r="K122" s="333">
        <f t="shared" si="0"/>
        <v>0.29892612780117822</v>
      </c>
    </row>
    <row r="123" spans="2:15" ht="18" customHeight="1">
      <c r="M123" s="160"/>
      <c r="O123" s="216"/>
    </row>
    <row r="124" spans="2:15" ht="30" customHeight="1"/>
    <row r="125" spans="2:15" ht="18" customHeight="1"/>
    <row r="126" spans="2:15" ht="19">
      <c r="C126" s="632" t="s">
        <v>99</v>
      </c>
      <c r="D126" s="632"/>
      <c r="E126" s="633"/>
      <c r="F126" s="189">
        <f>SUM(F93:F123)</f>
        <v>475319.55359661469</v>
      </c>
      <c r="G126" s="223">
        <f>SUM(G93:G123)</f>
        <v>643487.85863422637</v>
      </c>
      <c r="H126" s="362">
        <f>SUM(H93:H122)</f>
        <v>-168168.30503761172</v>
      </c>
    </row>
    <row r="128" spans="2:15" ht="18" customHeight="1">
      <c r="C128" s="224" t="s">
        <v>101</v>
      </c>
      <c r="H128" s="226">
        <f>F122/G122</f>
        <v>0.58786394661825703</v>
      </c>
    </row>
    <row r="129" spans="4:24" ht="17" customHeight="1"/>
    <row r="132" spans="4:24">
      <c r="J132" t="s">
        <v>12</v>
      </c>
    </row>
    <row r="134" spans="4:24">
      <c r="J134" t="s">
        <v>12</v>
      </c>
    </row>
    <row r="135" spans="4:24">
      <c r="J135" t="s">
        <v>12</v>
      </c>
    </row>
    <row r="136" spans="4:24">
      <c r="J136" t="s">
        <v>12</v>
      </c>
    </row>
    <row r="137" spans="4:24">
      <c r="J137" t="s">
        <v>12</v>
      </c>
    </row>
    <row r="138" spans="4:24" ht="19">
      <c r="D138" s="224"/>
      <c r="E138" s="224"/>
      <c r="F138" s="224"/>
    </row>
    <row r="142" spans="4:24" ht="19">
      <c r="P142" s="37"/>
      <c r="Q142" s="37"/>
      <c r="R142" s="37"/>
      <c r="S142" s="37"/>
      <c r="T142" s="37"/>
      <c r="U142" s="37"/>
      <c r="V142" s="37"/>
      <c r="W142" s="37"/>
      <c r="X142" s="37"/>
    </row>
    <row r="156" spans="6:14" ht="19">
      <c r="F156" s="37"/>
      <c r="G156" s="37"/>
      <c r="H156" s="37"/>
      <c r="I156" s="37"/>
      <c r="J156" s="37"/>
      <c r="K156" s="37"/>
      <c r="L156" s="37"/>
      <c r="M156" s="191"/>
      <c r="N156" s="37"/>
    </row>
  </sheetData>
  <mergeCells count="58">
    <mergeCell ref="B24:K24"/>
    <mergeCell ref="D58:S58"/>
    <mergeCell ref="B25:K25"/>
    <mergeCell ref="N24:U26"/>
    <mergeCell ref="B29:K29"/>
    <mergeCell ref="B30:K30"/>
    <mergeCell ref="B27:U27"/>
    <mergeCell ref="B45:K45"/>
    <mergeCell ref="N45:U45"/>
    <mergeCell ref="B44:K44"/>
    <mergeCell ref="N29:U29"/>
    <mergeCell ref="B38:U38"/>
    <mergeCell ref="B42:K42"/>
    <mergeCell ref="N42:U42"/>
    <mergeCell ref="B31:K31"/>
    <mergeCell ref="N31:U31"/>
    <mergeCell ref="B86:K90"/>
    <mergeCell ref="B84:K84"/>
    <mergeCell ref="B62:K64"/>
    <mergeCell ref="C126:E126"/>
    <mergeCell ref="B2:U2"/>
    <mergeCell ref="M6:P6"/>
    <mergeCell ref="O9:P9"/>
    <mergeCell ref="O10:P10"/>
    <mergeCell ref="O11:P11"/>
    <mergeCell ref="B6:K6"/>
    <mergeCell ref="B9:K9"/>
    <mergeCell ref="B10:K10"/>
    <mergeCell ref="B8:K8"/>
    <mergeCell ref="C4:S4"/>
    <mergeCell ref="N15:S15"/>
    <mergeCell ref="M20:T22"/>
    <mergeCell ref="B60:K61"/>
    <mergeCell ref="E56:K56"/>
    <mergeCell ref="B47:K47"/>
    <mergeCell ref="B33:K33"/>
    <mergeCell ref="B36:K36"/>
    <mergeCell ref="B53:U53"/>
    <mergeCell ref="N50:R50"/>
    <mergeCell ref="B49:K49"/>
    <mergeCell ref="B40:K40"/>
    <mergeCell ref="B41:K41"/>
    <mergeCell ref="N36:U36"/>
    <mergeCell ref="B34:K34"/>
    <mergeCell ref="N34:U34"/>
    <mergeCell ref="B12:K12"/>
    <mergeCell ref="B13:K13"/>
    <mergeCell ref="B15:K15"/>
    <mergeCell ref="B23:U23"/>
    <mergeCell ref="O12:P12"/>
    <mergeCell ref="O13:P13"/>
    <mergeCell ref="C18:I18"/>
    <mergeCell ref="C20:K22"/>
    <mergeCell ref="C19:I19"/>
    <mergeCell ref="H14:K14"/>
    <mergeCell ref="M17:S17"/>
    <mergeCell ref="M18:T18"/>
    <mergeCell ref="C17:I17"/>
  </mergeCells>
  <conditionalFormatting sqref="H93:H122">
    <cfRule type="cellIs" dxfId="144" priority="139" operator="lessThan">
      <formula>0</formula>
    </cfRule>
  </conditionalFormatting>
  <conditionalFormatting sqref="B93:B122">
    <cfRule type="cellIs" dxfId="143" priority="820" operator="equal">
      <formula>$R$6</formula>
    </cfRule>
    <cfRule type="cellIs" dxfId="142" priority="821" operator="greaterThan">
      <formula>$R$6</formula>
    </cfRule>
    <cfRule type="cellIs" dxfId="141" priority="822" operator="lessThan">
      <formula>$R$6</formula>
    </cfRule>
  </conditionalFormatting>
  <conditionalFormatting sqref="H126">
    <cfRule type="cellIs" dxfId="140" priority="74" operator="lessThan">
      <formula>0</formula>
    </cfRule>
  </conditionalFormatting>
  <conditionalFormatting sqref="J69:K69">
    <cfRule type="cellIs" dxfId="139" priority="33" operator="lessThan">
      <formula>0</formula>
    </cfRule>
  </conditionalFormatting>
  <conditionalFormatting sqref="J71:K71">
    <cfRule type="cellIs" dxfId="138" priority="32" operator="lessThan">
      <formula>0</formula>
    </cfRule>
  </conditionalFormatting>
  <conditionalFormatting sqref="J73:K73">
    <cfRule type="cellIs" dxfId="137" priority="31" operator="lessThan">
      <formula>0</formula>
    </cfRule>
  </conditionalFormatting>
  <conditionalFormatting sqref="J75:K75">
    <cfRule type="cellIs" dxfId="136" priority="30" operator="lessThan">
      <formula>0</formula>
    </cfRule>
  </conditionalFormatting>
  <conditionalFormatting sqref="J77:K77">
    <cfRule type="cellIs" dxfId="135" priority="29" operator="lessThan">
      <formula>0</formula>
    </cfRule>
  </conditionalFormatting>
  <conditionalFormatting sqref="J79:K79">
    <cfRule type="cellIs" dxfId="134" priority="28" operator="lessThan">
      <formula>0</formula>
    </cfRule>
  </conditionalFormatting>
  <conditionalFormatting sqref="J81:K81">
    <cfRule type="cellIs" dxfId="133" priority="27" operator="lessThan">
      <formula>0</formula>
    </cfRule>
  </conditionalFormatting>
  <conditionalFormatting sqref="M47">
    <cfRule type="cellIs" dxfId="132" priority="26" operator="lessThan">
      <formula>0</formula>
    </cfRule>
  </conditionalFormatting>
  <conditionalFormatting sqref="M36">
    <cfRule type="cellIs" dxfId="131" priority="25" operator="lessThan">
      <formula>0</formula>
    </cfRule>
  </conditionalFormatting>
  <conditionalFormatting sqref="J93:J122">
    <cfRule type="cellIs" dxfId="130" priority="24" operator="lessThan">
      <formula>0</formula>
    </cfRule>
  </conditionalFormatting>
  <conditionalFormatting sqref="M30">
    <cfRule type="cellIs" dxfId="129" priority="2"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38461-4960-8742-A4DB-C5CD42BEAD7A}">
  <dimension ref="A1"/>
  <sheetViews>
    <sheetView zoomScale="80" zoomScaleNormal="80" workbookViewId="0">
      <selection activeCell="A16" sqref="A16"/>
    </sheetView>
  </sheetViews>
  <sheetFormatPr baseColWidth="10" defaultRowHeight="15"/>
  <cols>
    <col min="1" max="1" width="5.1640625" customWidth="1"/>
  </cols>
  <sheetData/>
  <sheetProtection algorithmName="SHA-512" hashValue="e9yjv3ACXN6p96kqfRMz+kRatAdeIIbaPoSX0OfXMyYJKIcfAURvfOakf5QHswsgd8y/k4pF4EXzutHzfX7XWQ==" saltValue="hwhGWgjP9I4AsJ+ePxb4/w=="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7875D-E49D-4489-80D5-C3380E68B33A}">
  <dimension ref="B1:CA162"/>
  <sheetViews>
    <sheetView zoomScale="80" zoomScaleNormal="80" workbookViewId="0">
      <selection activeCell="M19" sqref="M18:M19"/>
    </sheetView>
  </sheetViews>
  <sheetFormatPr baseColWidth="10" defaultColWidth="8.83203125" defaultRowHeight="15"/>
  <cols>
    <col min="1" max="1" width="2.6640625" customWidth="1"/>
    <col min="2" max="2" width="14" customWidth="1"/>
    <col min="3" max="4" width="11.83203125" customWidth="1"/>
    <col min="5" max="5" width="11.33203125" customWidth="1"/>
    <col min="6" max="6" width="13.33203125" customWidth="1"/>
    <col min="7" max="7" width="10.5" customWidth="1"/>
    <col min="8" max="8" width="11" customWidth="1"/>
    <col min="9" max="18" width="13.33203125" customWidth="1"/>
    <col min="19" max="19" width="12.6640625" customWidth="1"/>
    <col min="20" max="20" width="9.33203125" customWidth="1"/>
    <col min="21" max="21" width="8.83203125" customWidth="1"/>
    <col min="22" max="23" width="9.6640625" customWidth="1"/>
    <col min="24" max="24" width="10" customWidth="1"/>
    <col min="25" max="25" width="10.1640625" customWidth="1"/>
    <col min="26" max="26" width="14.1640625" customWidth="1"/>
    <col min="27" max="27" width="8.83203125" customWidth="1"/>
    <col min="28" max="28" width="9" customWidth="1"/>
    <col min="29" max="30" width="9.33203125" customWidth="1"/>
    <col min="31" max="31" width="9.6640625" customWidth="1"/>
    <col min="32" max="32" width="9.5" customWidth="1"/>
    <col min="33" max="33" width="11.33203125" customWidth="1"/>
    <col min="34" max="34" width="9.83203125" customWidth="1"/>
    <col min="35" max="35" width="9.33203125" customWidth="1"/>
    <col min="36" max="36" width="9" customWidth="1"/>
    <col min="37" max="37" width="9.33203125" customWidth="1"/>
    <col min="38" max="38" width="15" customWidth="1"/>
    <col min="39" max="39" width="8.6640625" customWidth="1"/>
    <col min="40" max="40" width="9.1640625" customWidth="1"/>
    <col min="41" max="41" width="10.83203125" customWidth="1"/>
    <col min="42" max="42" width="10.1640625" customWidth="1"/>
    <col min="43" max="43" width="11.1640625" customWidth="1"/>
    <col min="44" max="44" width="11.5" customWidth="1"/>
    <col min="45" max="45" width="9.33203125" customWidth="1"/>
    <col min="46" max="46" width="11.83203125" customWidth="1"/>
    <col min="47" max="47" width="10" customWidth="1"/>
    <col min="48" max="48" width="8.83203125" customWidth="1"/>
    <col min="49" max="49" width="11.5" customWidth="1"/>
    <col min="50" max="50" width="3.1640625" customWidth="1"/>
    <col min="51" max="51" width="10.33203125" customWidth="1"/>
    <col min="52" max="52" width="11.1640625" customWidth="1"/>
    <col min="53" max="53" width="9.33203125" customWidth="1"/>
    <col min="54" max="54" width="8.83203125" customWidth="1"/>
    <col min="55" max="55" width="12.6640625" customWidth="1"/>
    <col min="56" max="56" width="9" customWidth="1"/>
    <col min="74" max="74" width="10" customWidth="1"/>
    <col min="75" max="75" width="10.5" customWidth="1"/>
    <col min="76" max="76" width="11" customWidth="1"/>
    <col min="77" max="77" width="10.6640625" customWidth="1"/>
    <col min="78" max="78" width="11.5" customWidth="1"/>
  </cols>
  <sheetData>
    <row r="1" spans="2:79" ht="16" thickBot="1"/>
    <row r="2" spans="2:79" ht="25" thickBot="1">
      <c r="E2" s="724" t="s">
        <v>14</v>
      </c>
      <c r="F2" s="725"/>
      <c r="G2" s="725"/>
      <c r="H2" s="725"/>
      <c r="I2" s="726"/>
      <c r="J2" s="296"/>
      <c r="K2" s="296"/>
      <c r="L2" s="296"/>
      <c r="M2" s="296"/>
      <c r="N2" s="296"/>
      <c r="O2" s="296"/>
      <c r="P2" s="296"/>
      <c r="Q2" s="238" t="s">
        <v>129</v>
      </c>
      <c r="R2" s="238"/>
    </row>
    <row r="3" spans="2:79" ht="16" thickBot="1"/>
    <row r="4" spans="2:79" ht="40" customHeight="1" thickBot="1">
      <c r="E4" s="730" t="s">
        <v>15</v>
      </c>
      <c r="F4" s="731"/>
      <c r="G4" s="731"/>
      <c r="H4" s="731"/>
      <c r="I4" s="731"/>
      <c r="J4" s="731"/>
      <c r="K4" s="731"/>
      <c r="L4" s="731"/>
      <c r="M4" s="731"/>
      <c r="N4" s="731"/>
      <c r="O4" s="731"/>
      <c r="P4" s="731"/>
      <c r="Q4" s="731"/>
      <c r="R4" s="731"/>
      <c r="S4" s="731"/>
      <c r="T4" s="732"/>
    </row>
    <row r="5" spans="2:79" ht="40" customHeight="1">
      <c r="E5" s="44"/>
      <c r="F5" s="44"/>
      <c r="G5" s="44"/>
      <c r="H5" s="44"/>
      <c r="I5" s="44"/>
      <c r="J5" s="44"/>
      <c r="K5" s="44"/>
      <c r="L5" s="44"/>
      <c r="M5" s="44"/>
      <c r="N5" s="44"/>
      <c r="O5" s="44"/>
      <c r="P5" s="44"/>
      <c r="Q5" s="44"/>
      <c r="R5" s="44"/>
      <c r="S5" s="44"/>
      <c r="T5" s="44"/>
      <c r="U5" s="39"/>
      <c r="V5" s="39"/>
      <c r="W5" s="39"/>
      <c r="X5" s="39"/>
      <c r="Y5" s="39"/>
      <c r="Z5" s="39"/>
      <c r="AA5" s="39"/>
      <c r="AB5" s="43"/>
      <c r="AC5" s="43"/>
      <c r="AD5" s="43"/>
      <c r="AE5" s="43"/>
    </row>
    <row r="6" spans="2:79" ht="19">
      <c r="E6" s="60" t="s">
        <v>16</v>
      </c>
      <c r="F6" s="60" t="s">
        <v>17</v>
      </c>
      <c r="G6" s="60"/>
      <c r="H6" s="60">
        <v>81</v>
      </c>
      <c r="I6" s="61" t="s">
        <v>19</v>
      </c>
      <c r="K6" s="367" t="s">
        <v>203</v>
      </c>
      <c r="L6" s="368"/>
      <c r="M6" s="368"/>
      <c r="N6" s="130">
        <f>'MASTER SUMMARY'!M12</f>
        <v>2017</v>
      </c>
      <c r="P6" s="369" t="s">
        <v>32</v>
      </c>
      <c r="Q6" s="334">
        <v>2021</v>
      </c>
      <c r="S6" s="2"/>
      <c r="T6" s="715" t="s">
        <v>32</v>
      </c>
      <c r="U6" s="715"/>
      <c r="V6" s="130">
        <f>IF(N6&gt;Q6,N6,Q6)</f>
        <v>2021</v>
      </c>
      <c r="W6" s="29" t="s">
        <v>204</v>
      </c>
    </row>
    <row r="7" spans="2:79">
      <c r="E7" s="60"/>
      <c r="F7" s="60" t="s">
        <v>18</v>
      </c>
      <c r="G7" s="60"/>
      <c r="H7" s="60">
        <v>84</v>
      </c>
      <c r="I7" s="61" t="s">
        <v>19</v>
      </c>
      <c r="S7" s="2"/>
      <c r="T7" s="2"/>
      <c r="AJ7" s="38"/>
    </row>
    <row r="8" spans="2:79">
      <c r="S8" s="2"/>
      <c r="T8" s="722" t="s">
        <v>268</v>
      </c>
      <c r="U8" s="722"/>
      <c r="V8" s="722"/>
      <c r="W8" s="722"/>
      <c r="X8" s="722"/>
      <c r="Y8" s="722"/>
      <c r="Z8" s="722"/>
      <c r="AA8" s="722"/>
      <c r="AB8" s="722"/>
      <c r="AC8" s="722"/>
      <c r="AD8" s="722"/>
      <c r="AE8" s="722"/>
      <c r="AF8" s="722"/>
      <c r="AG8" s="722"/>
      <c r="AH8" s="722"/>
      <c r="AI8" s="722"/>
      <c r="AJ8" s="722"/>
      <c r="AK8" s="722"/>
      <c r="AL8" s="722"/>
      <c r="AM8" s="722"/>
      <c r="AN8" s="722"/>
      <c r="AO8" s="722"/>
      <c r="AP8" s="722"/>
      <c r="AQ8" s="722"/>
      <c r="AR8" s="722"/>
      <c r="AS8" s="722"/>
      <c r="AT8" s="722"/>
      <c r="AU8" s="722"/>
      <c r="AV8" s="722"/>
      <c r="AW8" s="722"/>
      <c r="AX8" s="722"/>
      <c r="AY8" s="722"/>
      <c r="AZ8" s="722"/>
      <c r="BA8" s="722"/>
      <c r="BB8" s="722"/>
      <c r="BC8" s="722"/>
      <c r="BD8" s="722"/>
      <c r="BE8" s="722"/>
      <c r="BF8" s="722"/>
      <c r="BG8" s="722"/>
      <c r="BH8" s="722"/>
      <c r="BI8" s="722"/>
      <c r="BJ8" s="722"/>
      <c r="BK8" s="722"/>
      <c r="BL8" s="722"/>
      <c r="BM8" s="722"/>
      <c r="BN8" s="722"/>
      <c r="BO8" s="722"/>
      <c r="BP8" s="722"/>
      <c r="BQ8" s="722"/>
      <c r="BR8" s="722"/>
      <c r="BS8" s="722"/>
    </row>
    <row r="9" spans="2:79" ht="19">
      <c r="E9" s="19" t="s">
        <v>11</v>
      </c>
      <c r="S9" s="2"/>
      <c r="T9" s="722"/>
      <c r="U9" s="722"/>
      <c r="V9" s="722"/>
      <c r="W9" s="722"/>
      <c r="X9" s="722"/>
      <c r="Y9" s="722"/>
      <c r="Z9" s="722"/>
      <c r="AA9" s="722"/>
      <c r="AB9" s="722"/>
      <c r="AC9" s="722"/>
      <c r="AD9" s="722"/>
      <c r="AE9" s="722"/>
      <c r="AF9" s="722"/>
      <c r="AG9" s="722"/>
      <c r="AH9" s="722"/>
      <c r="AI9" s="722"/>
      <c r="AJ9" s="722"/>
      <c r="AK9" s="722"/>
      <c r="AL9" s="722"/>
      <c r="AM9" s="722"/>
      <c r="AN9" s="722"/>
      <c r="AO9" s="722"/>
      <c r="AP9" s="722"/>
      <c r="AQ9" s="722"/>
      <c r="AR9" s="722"/>
      <c r="AS9" s="722"/>
      <c r="AT9" s="722"/>
      <c r="AU9" s="722"/>
      <c r="AV9" s="722"/>
      <c r="AW9" s="722"/>
      <c r="AX9" s="722"/>
      <c r="AY9" s="722"/>
      <c r="AZ9" s="722"/>
      <c r="BA9" s="722"/>
      <c r="BB9" s="722"/>
      <c r="BC9" s="722"/>
      <c r="BD9" s="722"/>
      <c r="BE9" s="722"/>
      <c r="BF9" s="722"/>
      <c r="BG9" s="722"/>
      <c r="BH9" s="722"/>
      <c r="BI9" s="722"/>
      <c r="BJ9" s="722"/>
      <c r="BK9" s="722"/>
      <c r="BL9" s="722"/>
      <c r="BM9" s="722"/>
      <c r="BN9" s="722"/>
      <c r="BO9" s="722"/>
      <c r="BP9" s="722"/>
      <c r="BQ9" s="722"/>
      <c r="BR9" s="722"/>
      <c r="BS9" s="722"/>
    </row>
    <row r="10" spans="2:79" ht="16" thickBot="1">
      <c r="S10" s="2"/>
      <c r="T10" s="2"/>
      <c r="AA10" s="672"/>
      <c r="AB10" s="672"/>
      <c r="AC10" s="672"/>
      <c r="AD10" s="672"/>
      <c r="AE10" s="672"/>
      <c r="AG10" s="672"/>
      <c r="AH10" s="672"/>
      <c r="AI10" s="672"/>
      <c r="AJ10" s="672"/>
      <c r="AK10" s="672"/>
      <c r="AY10">
        <v>1</v>
      </c>
      <c r="AZ10" s="36">
        <f>AY10+1</f>
        <v>2</v>
      </c>
      <c r="BA10" s="36">
        <f t="shared" ref="BA10:BS10" si="0">AZ10+1</f>
        <v>3</v>
      </c>
      <c r="BB10" s="36">
        <f t="shared" si="0"/>
        <v>4</v>
      </c>
      <c r="BC10" s="36">
        <f t="shared" si="0"/>
        <v>5</v>
      </c>
      <c r="BD10" s="36">
        <f t="shared" si="0"/>
        <v>6</v>
      </c>
      <c r="BE10" s="36">
        <f t="shared" si="0"/>
        <v>7</v>
      </c>
      <c r="BF10" s="36">
        <f t="shared" si="0"/>
        <v>8</v>
      </c>
      <c r="BG10" s="36">
        <f t="shared" si="0"/>
        <v>9</v>
      </c>
      <c r="BH10" s="36">
        <f t="shared" si="0"/>
        <v>10</v>
      </c>
      <c r="BI10" s="36">
        <f t="shared" si="0"/>
        <v>11</v>
      </c>
      <c r="BJ10" s="36">
        <f t="shared" si="0"/>
        <v>12</v>
      </c>
      <c r="BK10" s="36">
        <f t="shared" si="0"/>
        <v>13</v>
      </c>
      <c r="BL10" s="36">
        <f t="shared" si="0"/>
        <v>14</v>
      </c>
      <c r="BM10" s="36">
        <f t="shared" si="0"/>
        <v>15</v>
      </c>
      <c r="BN10" s="36">
        <f t="shared" si="0"/>
        <v>16</v>
      </c>
      <c r="BO10" s="36">
        <f t="shared" si="0"/>
        <v>17</v>
      </c>
      <c r="BP10" s="36">
        <f t="shared" si="0"/>
        <v>18</v>
      </c>
      <c r="BQ10" s="36">
        <f t="shared" si="0"/>
        <v>19</v>
      </c>
      <c r="BR10" s="36">
        <f t="shared" si="0"/>
        <v>20</v>
      </c>
      <c r="BS10" s="36">
        <f t="shared" si="0"/>
        <v>21</v>
      </c>
    </row>
    <row r="11" spans="2:79" ht="37" customHeight="1" thickBot="1">
      <c r="C11" s="677" t="s">
        <v>165</v>
      </c>
      <c r="D11" s="678"/>
      <c r="E11" s="678"/>
      <c r="F11" s="678"/>
      <c r="G11" s="679"/>
      <c r="H11" s="710" t="s">
        <v>166</v>
      </c>
      <c r="I11" s="710"/>
      <c r="J11" s="719" t="s">
        <v>76</v>
      </c>
      <c r="K11" s="720"/>
      <c r="L11" s="16"/>
      <c r="M11" s="686" t="s">
        <v>267</v>
      </c>
      <c r="N11" s="687"/>
      <c r="O11" s="687"/>
      <c r="P11" s="687"/>
      <c r="Q11" s="687"/>
      <c r="R11" s="688"/>
      <c r="S11" s="1"/>
      <c r="T11" s="727" t="s">
        <v>135</v>
      </c>
      <c r="U11" s="728"/>
      <c r="V11" s="728"/>
      <c r="W11" s="728"/>
      <c r="X11" s="729"/>
      <c r="Y11" s="1"/>
      <c r="Z11" s="674" t="s">
        <v>136</v>
      </c>
      <c r="AA11" s="675"/>
      <c r="AB11" s="675"/>
      <c r="AC11" s="675"/>
      <c r="AD11" s="676"/>
      <c r="AE11" s="1"/>
      <c r="AF11" s="704" t="s">
        <v>137</v>
      </c>
      <c r="AG11" s="705"/>
      <c r="AH11" s="705"/>
      <c r="AI11" s="705"/>
      <c r="AJ11" s="706"/>
      <c r="AK11" s="1"/>
      <c r="AL11" s="696" t="s">
        <v>138</v>
      </c>
      <c r="AM11" s="697"/>
      <c r="AN11" s="697"/>
      <c r="AO11" s="697"/>
      <c r="AP11" s="698"/>
      <c r="AR11" s="696" t="s">
        <v>139</v>
      </c>
      <c r="AS11" s="697"/>
      <c r="AT11" s="697"/>
      <c r="AU11" s="697"/>
      <c r="AV11" s="697"/>
      <c r="AW11" s="698"/>
      <c r="AZ11" s="673" t="s">
        <v>146</v>
      </c>
      <c r="BA11" s="673"/>
      <c r="BB11" s="673"/>
      <c r="BC11" s="673"/>
      <c r="BD11" s="673" t="s">
        <v>142</v>
      </c>
      <c r="BE11" s="673"/>
      <c r="BF11" s="673"/>
      <c r="BG11" s="673"/>
      <c r="BH11" s="673" t="s">
        <v>143</v>
      </c>
      <c r="BI11" s="673"/>
      <c r="BJ11" s="673"/>
      <c r="BK11" s="673"/>
      <c r="BL11" s="673" t="s">
        <v>144</v>
      </c>
      <c r="BM11" s="673"/>
      <c r="BN11" s="673"/>
      <c r="BO11" s="673"/>
      <c r="BP11" s="673" t="s">
        <v>145</v>
      </c>
      <c r="BQ11" s="673"/>
      <c r="BR11" s="673"/>
      <c r="BS11" s="673"/>
      <c r="BU11" s="318"/>
      <c r="BV11" s="713" t="s">
        <v>167</v>
      </c>
      <c r="BW11" s="713"/>
      <c r="BX11" s="713"/>
      <c r="BY11" s="713"/>
      <c r="BZ11" s="713"/>
      <c r="CA11" s="297"/>
    </row>
    <row r="12" spans="2:79" ht="37" customHeight="1" thickBot="1">
      <c r="C12" s="680"/>
      <c r="D12" s="681"/>
      <c r="E12" s="681"/>
      <c r="F12" s="681"/>
      <c r="G12" s="682"/>
      <c r="H12" s="711" t="s">
        <v>168</v>
      </c>
      <c r="I12" s="712"/>
      <c r="J12" s="292"/>
      <c r="K12" s="293"/>
      <c r="L12" s="16"/>
      <c r="M12" s="689"/>
      <c r="N12" s="690"/>
      <c r="O12" s="690"/>
      <c r="P12" s="690"/>
      <c r="Q12" s="690"/>
      <c r="R12" s="691"/>
      <c r="S12" s="1"/>
      <c r="T12" s="303"/>
      <c r="U12" s="303"/>
      <c r="V12" s="303"/>
      <c r="W12" s="303"/>
      <c r="X12" s="303"/>
      <c r="Y12" s="1"/>
      <c r="Z12" s="304"/>
      <c r="AA12" s="304"/>
      <c r="AB12" s="304"/>
      <c r="AC12" s="304"/>
      <c r="AD12" s="304"/>
      <c r="AE12" s="1"/>
      <c r="AF12" s="305"/>
      <c r="AG12" s="305"/>
      <c r="AH12" s="305"/>
      <c r="AI12" s="305"/>
      <c r="AJ12" s="305"/>
      <c r="AK12" s="1"/>
      <c r="AL12" s="306"/>
      <c r="AM12" s="306"/>
      <c r="AN12" s="306"/>
      <c r="AO12" s="306"/>
      <c r="AP12" s="306"/>
      <c r="AR12" s="294"/>
      <c r="AS12" s="306"/>
      <c r="AT12" s="306"/>
      <c r="AU12" s="306"/>
      <c r="AV12" s="306"/>
      <c r="AW12" s="306"/>
      <c r="AZ12" s="295"/>
      <c r="BA12" s="295"/>
      <c r="BB12" s="295"/>
      <c r="BC12" s="295"/>
      <c r="BD12" s="295"/>
      <c r="BE12" s="295"/>
      <c r="BF12" s="295"/>
      <c r="BG12" s="295"/>
      <c r="BH12" s="295"/>
      <c r="BI12" s="295"/>
      <c r="BJ12" s="295"/>
      <c r="BK12" s="295"/>
      <c r="BL12" s="295"/>
      <c r="BM12" s="295"/>
      <c r="BN12" s="295"/>
      <c r="BO12" s="295"/>
      <c r="BP12" s="295"/>
      <c r="BQ12" s="295"/>
      <c r="BR12" s="295"/>
      <c r="BS12" s="295"/>
      <c r="BU12" s="297"/>
      <c r="BV12" s="714">
        <v>1</v>
      </c>
      <c r="BW12" s="712"/>
      <c r="BX12" s="579">
        <v>2</v>
      </c>
      <c r="BY12" s="579"/>
      <c r="BZ12" s="579"/>
      <c r="CA12" s="297"/>
    </row>
    <row r="13" spans="2:79" ht="37" customHeight="1" thickBot="1">
      <c r="C13" s="683"/>
      <c r="D13" s="684"/>
      <c r="E13" s="684"/>
      <c r="F13" s="684"/>
      <c r="G13" s="685"/>
      <c r="H13" s="707">
        <v>1</v>
      </c>
      <c r="I13" s="708"/>
      <c r="J13" s="292"/>
      <c r="K13" s="293"/>
      <c r="L13" s="16"/>
      <c r="M13" s="692"/>
      <c r="N13" s="693"/>
      <c r="O13" s="693"/>
      <c r="P13" s="693"/>
      <c r="Q13" s="693"/>
      <c r="R13" s="694"/>
      <c r="S13" s="1"/>
      <c r="T13" s="303"/>
      <c r="U13" s="303"/>
      <c r="V13" s="303"/>
      <c r="W13" s="303"/>
      <c r="X13" s="303"/>
      <c r="Y13" s="1"/>
      <c r="Z13" s="304"/>
      <c r="AA13" s="304"/>
      <c r="AB13" s="304"/>
      <c r="AC13" s="304"/>
      <c r="AD13" s="304"/>
      <c r="AE13" s="1"/>
      <c r="AF13" s="305"/>
      <c r="AG13" s="305"/>
      <c r="AH13" s="305"/>
      <c r="AI13" s="305"/>
      <c r="AJ13" s="305"/>
      <c r="AK13" s="1"/>
      <c r="AL13" s="306"/>
      <c r="AM13" s="306"/>
      <c r="AN13" s="306"/>
      <c r="AO13" s="306"/>
      <c r="AP13" s="306"/>
      <c r="AR13" s="294"/>
      <c r="AS13" s="306"/>
      <c r="AT13" s="306"/>
      <c r="AU13" s="306"/>
      <c r="AV13" s="306"/>
      <c r="AW13" s="306"/>
      <c r="AZ13" s="295"/>
      <c r="BA13" s="295"/>
      <c r="BB13" s="295"/>
      <c r="BC13" s="295"/>
      <c r="BD13" s="295"/>
      <c r="BE13" s="295"/>
      <c r="BF13" s="295"/>
      <c r="BG13" s="295"/>
      <c r="BH13" s="295"/>
      <c r="BI13" s="295"/>
      <c r="BJ13" s="295"/>
      <c r="BK13" s="295"/>
      <c r="BL13" s="295"/>
      <c r="BM13" s="295"/>
      <c r="BN13" s="295"/>
      <c r="BO13" s="295"/>
      <c r="BP13" s="295"/>
      <c r="BQ13" s="295"/>
      <c r="BR13" s="295"/>
      <c r="BS13" s="295"/>
      <c r="BV13" s="683" t="s">
        <v>161</v>
      </c>
      <c r="BW13" s="685"/>
      <c r="BX13" s="683" t="s">
        <v>163</v>
      </c>
      <c r="BY13" s="684"/>
      <c r="BZ13" s="685"/>
      <c r="CA13" s="297"/>
    </row>
    <row r="14" spans="2:79" ht="94" customHeight="1" thickBot="1">
      <c r="C14" s="414" t="s">
        <v>24</v>
      </c>
      <c r="D14" s="414" t="s">
        <v>26</v>
      </c>
      <c r="E14" s="414" t="s">
        <v>25</v>
      </c>
      <c r="F14" s="414" t="s">
        <v>89</v>
      </c>
      <c r="G14" s="414" t="s">
        <v>74</v>
      </c>
      <c r="H14" s="302" t="s">
        <v>3</v>
      </c>
      <c r="I14" s="302" t="s">
        <v>1</v>
      </c>
      <c r="J14" s="255" t="s">
        <v>63</v>
      </c>
      <c r="K14" s="256" t="s">
        <v>64</v>
      </c>
      <c r="M14" s="417" t="s">
        <v>263</v>
      </c>
      <c r="N14" s="417" t="s">
        <v>2</v>
      </c>
      <c r="O14" s="417" t="s">
        <v>1</v>
      </c>
      <c r="P14" s="417" t="s">
        <v>102</v>
      </c>
      <c r="Q14" s="417" t="s">
        <v>83</v>
      </c>
      <c r="R14" s="417" t="s">
        <v>6</v>
      </c>
      <c r="T14" s="11" t="s">
        <v>31</v>
      </c>
      <c r="U14" s="11" t="s">
        <v>2</v>
      </c>
      <c r="V14" s="12" t="s">
        <v>1</v>
      </c>
      <c r="W14" s="11" t="s">
        <v>5</v>
      </c>
      <c r="X14" s="11" t="s">
        <v>6</v>
      </c>
      <c r="Z14" s="11" t="s">
        <v>31</v>
      </c>
      <c r="AA14" s="11" t="s">
        <v>2</v>
      </c>
      <c r="AB14" s="12" t="s">
        <v>1</v>
      </c>
      <c r="AC14" s="11" t="s">
        <v>5</v>
      </c>
      <c r="AD14" s="11" t="s">
        <v>6</v>
      </c>
      <c r="AF14" s="11" t="s">
        <v>31</v>
      </c>
      <c r="AG14" s="11" t="s">
        <v>2</v>
      </c>
      <c r="AH14" s="21" t="s">
        <v>1</v>
      </c>
      <c r="AI14" s="22" t="s">
        <v>5</v>
      </c>
      <c r="AJ14" s="22" t="s">
        <v>6</v>
      </c>
      <c r="AL14" s="11" t="s">
        <v>31</v>
      </c>
      <c r="AM14" s="11" t="s">
        <v>2</v>
      </c>
      <c r="AN14" s="12" t="s">
        <v>1</v>
      </c>
      <c r="AO14" s="11" t="s">
        <v>5</v>
      </c>
      <c r="AP14" s="11" t="s">
        <v>6</v>
      </c>
      <c r="AR14" s="27" t="s">
        <v>33</v>
      </c>
      <c r="AS14" s="25" t="s">
        <v>4</v>
      </c>
      <c r="AT14" s="11" t="s">
        <v>2</v>
      </c>
      <c r="AU14" s="12" t="s">
        <v>1</v>
      </c>
      <c r="AV14" s="11" t="s">
        <v>5</v>
      </c>
      <c r="AW14" s="11" t="s">
        <v>6</v>
      </c>
      <c r="AZ14" s="249" t="s">
        <v>103</v>
      </c>
      <c r="BA14" s="249" t="s">
        <v>115</v>
      </c>
      <c r="BB14" s="249" t="s">
        <v>114</v>
      </c>
      <c r="BC14" s="249" t="s">
        <v>116</v>
      </c>
      <c r="BD14" s="249" t="s">
        <v>103</v>
      </c>
      <c r="BE14" s="249" t="s">
        <v>115</v>
      </c>
      <c r="BF14" s="249" t="s">
        <v>112</v>
      </c>
      <c r="BG14" s="249" t="s">
        <v>117</v>
      </c>
      <c r="BH14" s="249" t="s">
        <v>103</v>
      </c>
      <c r="BI14" s="249" t="s">
        <v>115</v>
      </c>
      <c r="BJ14" s="249" t="s">
        <v>112</v>
      </c>
      <c r="BK14" s="249"/>
      <c r="BL14" s="249" t="s">
        <v>103</v>
      </c>
      <c r="BM14" s="249" t="s">
        <v>115</v>
      </c>
      <c r="BN14" s="249" t="s">
        <v>112</v>
      </c>
      <c r="BO14" s="249"/>
      <c r="BP14" s="249" t="s">
        <v>103</v>
      </c>
      <c r="BQ14" s="249" t="s">
        <v>115</v>
      </c>
      <c r="BR14" s="249" t="s">
        <v>112</v>
      </c>
      <c r="BS14" s="249" t="s">
        <v>116</v>
      </c>
      <c r="BV14" s="255" t="s">
        <v>3</v>
      </c>
      <c r="BW14" s="256" t="s">
        <v>1</v>
      </c>
      <c r="BX14" s="255" t="s">
        <v>162</v>
      </c>
      <c r="BY14" s="312" t="s">
        <v>169</v>
      </c>
      <c r="BZ14" s="256" t="s">
        <v>164</v>
      </c>
      <c r="CA14" s="298"/>
    </row>
    <row r="15" spans="2:79" ht="30" customHeight="1">
      <c r="B15" s="669" t="s">
        <v>141</v>
      </c>
      <c r="C15" s="230"/>
      <c r="D15" s="230">
        <v>1</v>
      </c>
      <c r="E15" s="230">
        <f>D15+1</f>
        <v>2</v>
      </c>
      <c r="F15" s="230">
        <f t="shared" ref="F15:AW15" si="1">E15+1</f>
        <v>3</v>
      </c>
      <c r="G15" s="230">
        <f t="shared" si="1"/>
        <v>4</v>
      </c>
      <c r="H15" s="230">
        <f t="shared" si="1"/>
        <v>5</v>
      </c>
      <c r="I15" s="230">
        <f t="shared" si="1"/>
        <v>6</v>
      </c>
      <c r="J15" s="230">
        <f>I15+1</f>
        <v>7</v>
      </c>
      <c r="K15" s="230">
        <f t="shared" si="1"/>
        <v>8</v>
      </c>
      <c r="L15" s="230">
        <f t="shared" si="1"/>
        <v>9</v>
      </c>
      <c r="M15" s="230">
        <f t="shared" si="1"/>
        <v>10</v>
      </c>
      <c r="N15" s="230">
        <f t="shared" si="1"/>
        <v>11</v>
      </c>
      <c r="O15" s="230">
        <f t="shared" si="1"/>
        <v>12</v>
      </c>
      <c r="P15" s="230">
        <f t="shared" si="1"/>
        <v>13</v>
      </c>
      <c r="Q15" s="230">
        <f t="shared" si="1"/>
        <v>14</v>
      </c>
      <c r="R15" s="230">
        <f t="shared" si="1"/>
        <v>15</v>
      </c>
      <c r="S15" s="230">
        <f t="shared" si="1"/>
        <v>16</v>
      </c>
      <c r="T15" s="230">
        <f t="shared" si="1"/>
        <v>17</v>
      </c>
      <c r="U15" s="230">
        <f t="shared" si="1"/>
        <v>18</v>
      </c>
      <c r="V15" s="230">
        <f t="shared" si="1"/>
        <v>19</v>
      </c>
      <c r="W15" s="230">
        <f t="shared" si="1"/>
        <v>20</v>
      </c>
      <c r="X15" s="230">
        <f t="shared" si="1"/>
        <v>21</v>
      </c>
      <c r="Y15" s="230">
        <f t="shared" si="1"/>
        <v>22</v>
      </c>
      <c r="Z15" s="230">
        <f t="shared" si="1"/>
        <v>23</v>
      </c>
      <c r="AA15" s="230">
        <f t="shared" si="1"/>
        <v>24</v>
      </c>
      <c r="AB15" s="230">
        <f t="shared" si="1"/>
        <v>25</v>
      </c>
      <c r="AC15" s="230">
        <f t="shared" si="1"/>
        <v>26</v>
      </c>
      <c r="AD15" s="230">
        <f t="shared" si="1"/>
        <v>27</v>
      </c>
      <c r="AE15" s="230">
        <f t="shared" si="1"/>
        <v>28</v>
      </c>
      <c r="AF15" s="230">
        <f t="shared" si="1"/>
        <v>29</v>
      </c>
      <c r="AG15" s="230">
        <f t="shared" si="1"/>
        <v>30</v>
      </c>
      <c r="AH15" s="230">
        <f t="shared" si="1"/>
        <v>31</v>
      </c>
      <c r="AI15" s="230">
        <f t="shared" si="1"/>
        <v>32</v>
      </c>
      <c r="AJ15" s="230">
        <f t="shared" si="1"/>
        <v>33</v>
      </c>
      <c r="AK15" s="230">
        <f t="shared" si="1"/>
        <v>34</v>
      </c>
      <c r="AL15" s="230">
        <f t="shared" si="1"/>
        <v>35</v>
      </c>
      <c r="AM15" s="230">
        <f t="shared" si="1"/>
        <v>36</v>
      </c>
      <c r="AN15" s="230">
        <f t="shared" si="1"/>
        <v>37</v>
      </c>
      <c r="AO15" s="230">
        <f t="shared" si="1"/>
        <v>38</v>
      </c>
      <c r="AP15" s="230">
        <f t="shared" si="1"/>
        <v>39</v>
      </c>
      <c r="AQ15" s="230">
        <f t="shared" si="1"/>
        <v>40</v>
      </c>
      <c r="AR15" s="230">
        <f t="shared" si="1"/>
        <v>41</v>
      </c>
      <c r="AS15" s="230">
        <f t="shared" si="1"/>
        <v>42</v>
      </c>
      <c r="AT15" s="230">
        <f t="shared" si="1"/>
        <v>43</v>
      </c>
      <c r="AU15" s="230">
        <f t="shared" si="1"/>
        <v>44</v>
      </c>
      <c r="AV15" s="230">
        <f t="shared" si="1"/>
        <v>45</v>
      </c>
      <c r="AW15" s="230">
        <f t="shared" si="1"/>
        <v>46</v>
      </c>
      <c r="AY15" t="s">
        <v>88</v>
      </c>
      <c r="AZ15" s="36"/>
      <c r="BA15" s="36"/>
      <c r="BB15" s="36"/>
      <c r="BC15" s="36"/>
      <c r="BD15" s="36"/>
      <c r="BE15" s="36"/>
      <c r="BF15" s="36"/>
      <c r="BG15" s="36"/>
      <c r="BH15" s="36"/>
      <c r="BI15" s="36"/>
      <c r="BJ15" s="36"/>
      <c r="BK15" s="36"/>
      <c r="BL15" s="36"/>
      <c r="BM15" s="36"/>
      <c r="BN15" s="36"/>
      <c r="BO15" s="36"/>
      <c r="BP15" s="36"/>
      <c r="BQ15" s="36"/>
      <c r="BR15" s="36"/>
      <c r="BS15" s="36"/>
      <c r="BV15" s="230">
        <f>BU15+1</f>
        <v>1</v>
      </c>
      <c r="BW15" s="230">
        <f>BV15+1</f>
        <v>2</v>
      </c>
      <c r="BX15" s="230"/>
      <c r="BY15" s="230"/>
      <c r="BZ15" s="230"/>
      <c r="CA15" s="230"/>
    </row>
    <row r="16" spans="2:79" ht="43" customHeight="1" thickBot="1">
      <c r="B16" s="670"/>
      <c r="C16" s="230"/>
      <c r="D16" s="230"/>
      <c r="E16" s="230"/>
      <c r="F16" s="230"/>
      <c r="G16" s="230"/>
      <c r="H16" s="721"/>
      <c r="I16" s="721"/>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0"/>
      <c r="AP16" s="230"/>
      <c r="AQ16" s="230"/>
      <c r="AR16" s="230"/>
      <c r="AS16" s="230"/>
      <c r="AT16" s="230"/>
      <c r="AU16" s="230"/>
      <c r="AV16" s="230"/>
      <c r="AW16" s="230"/>
      <c r="AZ16" s="36"/>
      <c r="BA16" s="36"/>
      <c r="BB16" s="36"/>
      <c r="BC16" s="36"/>
      <c r="BD16" s="36"/>
      <c r="BE16" s="36"/>
      <c r="BF16" s="36"/>
      <c r="BG16" s="36"/>
      <c r="BH16" s="36"/>
      <c r="BI16" s="36"/>
      <c r="BJ16" s="36"/>
      <c r="BK16" s="36"/>
      <c r="BL16" s="36"/>
      <c r="BM16" s="36"/>
      <c r="BN16" s="36"/>
      <c r="BO16" s="36"/>
      <c r="BP16" s="36"/>
      <c r="BQ16" s="36"/>
      <c r="BR16" s="36"/>
      <c r="BS16" s="36"/>
      <c r="BV16" s="230"/>
      <c r="BW16" s="230"/>
      <c r="BX16" s="230"/>
      <c r="BY16" s="230"/>
      <c r="BZ16" s="230"/>
      <c r="CA16" s="230"/>
    </row>
    <row r="17" spans="2:79" ht="19" thickBot="1">
      <c r="B17" s="671"/>
      <c r="C17" s="258">
        <f>'MASTER SUMMARY'!M12</f>
        <v>2017</v>
      </c>
      <c r="D17" s="259">
        <f>'MASTER SUMMARY'!M13</f>
        <v>62</v>
      </c>
      <c r="E17" s="260"/>
      <c r="F17" s="42">
        <f>'MASTER SUMMARY'!M15</f>
        <v>15000</v>
      </c>
      <c r="G17" s="261">
        <f>IF(ISERROR(VLOOKUP(C17,'TABLES-ACTUAL &amp; FUTURE RATES'!$V$10:$X$81,2,FALSE)),0,VLOOKUP(C17,'TABLES-ACTUAL &amp; FUTURE RATES'!$V$10:$X$81,2,FALSE))</f>
        <v>2.5999999999999999E-2</v>
      </c>
      <c r="H17" s="308"/>
      <c r="I17" s="308"/>
      <c r="J17" s="4"/>
      <c r="K17" s="4"/>
      <c r="L17" s="162" t="s">
        <v>28</v>
      </c>
      <c r="O17" s="3">
        <f>F17</f>
        <v>15000</v>
      </c>
      <c r="P17" s="3"/>
      <c r="V17" s="3">
        <f>F17</f>
        <v>15000</v>
      </c>
      <c r="AB17" s="3">
        <f>F17</f>
        <v>15000</v>
      </c>
      <c r="AF17" t="s">
        <v>12</v>
      </c>
      <c r="AG17" t="s">
        <v>12</v>
      </c>
      <c r="AH17" s="3">
        <f>F17</f>
        <v>15000</v>
      </c>
      <c r="AL17" t="s">
        <v>12</v>
      </c>
      <c r="AM17" t="s">
        <v>12</v>
      </c>
      <c r="AN17" s="3">
        <f>F17</f>
        <v>15000</v>
      </c>
      <c r="AU17" s="3">
        <f>F17</f>
        <v>15000</v>
      </c>
      <c r="BV17" s="309"/>
      <c r="BW17" s="309"/>
      <c r="BX17" s="4"/>
      <c r="BY17" s="4"/>
      <c r="BZ17" s="4"/>
      <c r="CA17" s="4"/>
    </row>
    <row r="18" spans="2:79" ht="20" thickBot="1">
      <c r="B18" s="248">
        <v>1997</v>
      </c>
      <c r="C18" s="262">
        <f>C17</f>
        <v>2017</v>
      </c>
      <c r="D18" s="57">
        <f>D17</f>
        <v>62</v>
      </c>
      <c r="E18" s="31">
        <v>1</v>
      </c>
      <c r="F18" s="10">
        <f>F17</f>
        <v>15000</v>
      </c>
      <c r="G18" s="94">
        <f>IF(ISERROR(VLOOKUP(C18,'TABLES-ACTUAL &amp; FUTURE RATES'!$V$10:$X$81,2,FALSE)),0,VLOOKUP(C18,'TABLES-ACTUAL &amp; FUTURE RATES'!$V$10:$X$81,2,FALSE))</f>
        <v>2.5999999999999999E-2</v>
      </c>
      <c r="H18" s="5">
        <f t="shared" ref="H18:H47" si="2">IF($H$13=2,BY18,BV18)</f>
        <v>390</v>
      </c>
      <c r="I18" s="5">
        <f t="shared" ref="I18:I47" si="3">IF($H$13=2,BZ18,BW18)</f>
        <v>15390</v>
      </c>
      <c r="J18" s="257">
        <f>G51</f>
        <v>0.89473684210526316</v>
      </c>
      <c r="K18" s="254">
        <f>G52</f>
        <v>0.10526315789473684</v>
      </c>
      <c r="L18">
        <f t="shared" ref="L18:L47" si="4">C18</f>
        <v>2017</v>
      </c>
      <c r="M18" s="418">
        <f>IF(ISERROR(VLOOKUP(C18,'TABLES-ACTUAL &amp; FUTURE RATES'!$AB$10:$AC$81,2,FALSE)),0,VLOOKUP(C18,'TABLES-ACTUAL &amp; FUTURE RATES'!$AB$10:$AC$81,2,FALSE))</f>
        <v>1.5072463768115941E-3</v>
      </c>
      <c r="N18" s="7">
        <f t="shared" ref="N18:N47" si="5">IF(C18&lt;$B$18,O17*M18,IF(M18=0,((O17*$K$18)*G18),((O17*$J$18)*M18)+(O17*$K$18*G18)))</f>
        <v>61.281464530892443</v>
      </c>
      <c r="O18" s="8">
        <f>O17+N18</f>
        <v>15061.281464530892</v>
      </c>
      <c r="P18" s="8">
        <f>O18</f>
        <v>15061.281464530892</v>
      </c>
      <c r="Q18" s="9">
        <f t="shared" ref="Q18:Q47" si="6">O18-I18</f>
        <v>-328.71853546910825</v>
      </c>
      <c r="R18" s="9">
        <f>Q18</f>
        <v>-328.71853546910825</v>
      </c>
      <c r="T18" s="93">
        <f>IF(ISERROR(VLOOKUP(C18,'TABLES-ACTUAL &amp; FUTURE RATES'!$AD$10:$AE$81,2,FALSE)),0,VLOOKUP(C18,'TABLES-ACTUAL &amp; FUTURE RATES'!$AD$10:$AE$81,2,FALSE))</f>
        <v>1.5072463768115941E-3</v>
      </c>
      <c r="U18" s="7">
        <f t="shared" ref="U18:U47" si="7">IF(C18&lt;$B$18,V17*T18,IF(T18=0,((V17*$G$52)*G18),((V17*$G$51)*T18)+(V17*$G$52*G18)))</f>
        <v>61.281464530892443</v>
      </c>
      <c r="V18" s="8">
        <f>V17+U18</f>
        <v>15061.281464530892</v>
      </c>
      <c r="W18" s="9">
        <f t="shared" ref="W18:W47" si="8">V18-I18</f>
        <v>-328.71853546910825</v>
      </c>
      <c r="X18" s="9">
        <f>W18</f>
        <v>-328.71853546910825</v>
      </c>
      <c r="Z18" s="93">
        <f>IF(ISERROR(VLOOKUP(C18,'TABLES-ACTUAL &amp; FUTURE RATES'!$AF$10:$AG$81,2,FALSE)),0,VLOOKUP(C18,'TABLES-ACTUAL &amp; FUTURE RATES'!$AF$10:$AG$81,2,FALSE))</f>
        <v>1.5072463768115941E-3</v>
      </c>
      <c r="AA18" s="7">
        <f t="shared" ref="AA18:AA47" si="9">IF(C18&lt;$B$18,AB17*Z18,IF(Z18=0,((AB17*$G$52)*G18),((AB17*$G$51)*Z18)+(AB17*$G$52*G18)))</f>
        <v>61.281464530892443</v>
      </c>
      <c r="AB18" s="8">
        <f>AB17+AA18</f>
        <v>15061.281464530892</v>
      </c>
      <c r="AC18" s="9">
        <f t="shared" ref="AC18:AC47" si="10">AB18-I18</f>
        <v>-328.71853546910825</v>
      </c>
      <c r="AD18" s="9">
        <f>AC18</f>
        <v>-328.71853546910825</v>
      </c>
      <c r="AF18" s="93">
        <f>IF(ISERROR(VLOOKUP(C18,'TABLES-ACTUAL &amp; FUTURE RATES'!$AH$10:$AI$81,2,FALSE)),0,VLOOKUP(C18,'TABLES-ACTUAL &amp; FUTURE RATES'!$AH$10:$AI$81,2,FALSE))</f>
        <v>1.5072463768115941E-3</v>
      </c>
      <c r="AG18" s="7">
        <f t="shared" ref="AG18:AG47" si="11">IF(C18&lt;$B$18,AH17*AF18,IF(AF18=0,((AH17*$G$52)*G18),((AH17*$G$51)*AF18)+(AH17*$G$52*G18)))</f>
        <v>61.281464530892443</v>
      </c>
      <c r="AH18" s="8">
        <f>AH17+AG18</f>
        <v>15061.281464530892</v>
      </c>
      <c r="AI18" s="24">
        <f t="shared" ref="AI18:AI47" si="12">AH18-I18</f>
        <v>-328.71853546910825</v>
      </c>
      <c r="AJ18" s="24">
        <f>AI18</f>
        <v>-328.71853546910825</v>
      </c>
      <c r="AL18" s="93">
        <f>IF(ISERROR(VLOOKUP(C18,'TABLES-ACTUAL &amp; FUTURE RATES'!$AJ$10:$AK$81,2,FALSE)),0,VLOOKUP(C18,'TABLES-ACTUAL &amp; FUTURE RATES'!$AJ$10:$AK$81,2,FALSE))</f>
        <v>1.5072463768115941E-3</v>
      </c>
      <c r="AM18" s="7">
        <f t="shared" ref="AM18:AM47" si="13">IF(C18&lt;$B$18,AN17*AL18,IF(AL18=0,((AN17*$G$52)*G18),((AN17*$G$51)*AL18)+(AN17*$G$52*G18)))</f>
        <v>61.281464530892443</v>
      </c>
      <c r="AN18" s="8">
        <f>AN17+AM18</f>
        <v>15061.281464530892</v>
      </c>
      <c r="AO18" s="9">
        <f t="shared" ref="AO18:AO47" si="14">AN18-I18</f>
        <v>-328.71853546910825</v>
      </c>
      <c r="AP18" s="9">
        <f>AO18</f>
        <v>-328.71853546910825</v>
      </c>
      <c r="AR18" s="32" t="str">
        <f>IF(ISERROR(VLOOKUP(C18,'TABLES-ACTUAL &amp; FUTURE RATES'!$AL$10:$AN$81,3,FALSE)),0,VLOOKUP(C18,'TABLES-ACTUAL &amp; FUTURE RATES'!$AL$10:$AN$81,3,FALSE))</f>
        <v>Actual</v>
      </c>
      <c r="AS18" s="93">
        <f>IF(ISERROR(VLOOKUP(C18,'TABLES-ACTUAL &amp; FUTURE RATES'!$AL$10:$AM$81,2,FALSE)),0,VLOOKUP(C18,'TABLES-ACTUAL &amp; FUTURE RATES'!$AL$10:$AM$81,2,FALSE))</f>
        <v>1.5072463768115941E-3</v>
      </c>
      <c r="AT18" s="7">
        <f t="shared" ref="AT18:AT47" si="15">IF(C18&lt;$B$18,AU17*AS18,IF(AS18=0,((AU17*$G$52)*G18),((AU17*$G$51)*AS18)+(AU17*$G$52*G18)))</f>
        <v>61.281464530892443</v>
      </c>
      <c r="AU18" s="8">
        <f>AU17+AT18</f>
        <v>15061.281464530892</v>
      </c>
      <c r="AV18" s="9">
        <f t="shared" ref="AV18:AV47" si="16">AU18-I18</f>
        <v>-328.71853546910825</v>
      </c>
      <c r="AW18" s="9">
        <f>AV18</f>
        <v>-328.71853546910825</v>
      </c>
      <c r="AY18">
        <f t="shared" ref="AY18:AY47" si="17">D18</f>
        <v>62</v>
      </c>
      <c r="AZ18" s="9">
        <f>V18</f>
        <v>15061.281464530892</v>
      </c>
      <c r="BA18" s="9">
        <f>AZ18-O18</f>
        <v>0</v>
      </c>
      <c r="BB18" s="9">
        <f>AZ18</f>
        <v>15061.281464530892</v>
      </c>
      <c r="BC18" s="9">
        <f>BB18-P18</f>
        <v>0</v>
      </c>
      <c r="BD18" s="9">
        <f>AB18</f>
        <v>15061.281464530892</v>
      </c>
      <c r="BE18" s="9">
        <f>BD18-O18</f>
        <v>0</v>
      </c>
      <c r="BF18" s="9">
        <f>BD18</f>
        <v>15061.281464530892</v>
      </c>
      <c r="BG18" s="9">
        <f>BF18-P18</f>
        <v>0</v>
      </c>
      <c r="BH18" s="9">
        <f>AH18</f>
        <v>15061.281464530892</v>
      </c>
      <c r="BI18" s="9">
        <f>BH18-O18</f>
        <v>0</v>
      </c>
      <c r="BJ18" s="9">
        <f>BH18</f>
        <v>15061.281464530892</v>
      </c>
      <c r="BK18" s="9">
        <f>BJ18-P18</f>
        <v>0</v>
      </c>
      <c r="BL18" s="9">
        <f>AN18</f>
        <v>15061.281464530892</v>
      </c>
      <c r="BM18" s="9">
        <f>BL18-O18</f>
        <v>0</v>
      </c>
      <c r="BN18" s="9">
        <f>BL18</f>
        <v>15061.281464530892</v>
      </c>
      <c r="BO18" s="9">
        <f>BN18-P18</f>
        <v>0</v>
      </c>
      <c r="BP18" s="9">
        <f>AU18</f>
        <v>15061.281464530892</v>
      </c>
      <c r="BQ18" s="9">
        <f>BP18-O18</f>
        <v>0</v>
      </c>
      <c r="BR18" s="9">
        <f>BP18</f>
        <v>15061.281464530892</v>
      </c>
      <c r="BS18" s="9">
        <f>BR18-P18</f>
        <v>0</v>
      </c>
      <c r="BV18" s="310">
        <f t="shared" ref="BV18:BV47" si="18">F18*G18</f>
        <v>390</v>
      </c>
      <c r="BW18" s="311">
        <f t="shared" ref="BW18:BW47" si="19">F18+BV18</f>
        <v>15390</v>
      </c>
      <c r="BX18" s="313">
        <f>G18</f>
        <v>2.5999999999999999E-2</v>
      </c>
      <c r="BY18" s="314">
        <f t="shared" ref="BY18:BY47" si="20">$F$17*BX18</f>
        <v>390</v>
      </c>
      <c r="BZ18" s="311">
        <f t="shared" ref="BZ18:BZ47" si="21">$F$17+BY18</f>
        <v>15390</v>
      </c>
      <c r="CA18" s="299"/>
    </row>
    <row r="19" spans="2:79" ht="17" thickBot="1">
      <c r="C19" s="262">
        <f t="shared" ref="C19:C46" si="22">C18+1</f>
        <v>2018</v>
      </c>
      <c r="D19" s="57">
        <f t="shared" ref="D19:D46" si="23">D18+1</f>
        <v>63</v>
      </c>
      <c r="E19" s="31">
        <f>E18+1</f>
        <v>2</v>
      </c>
      <c r="F19" s="5">
        <f>I18</f>
        <v>15390</v>
      </c>
      <c r="G19" s="94">
        <f>IF(ISERROR(VLOOKUP(C19,'TABLES-ACTUAL &amp; FUTURE RATES'!$V$10:$X$81,2,FALSE)),0,VLOOKUP(C19,'TABLES-ACTUAL &amp; FUTURE RATES'!$V$10:$X$81,2,FALSE))</f>
        <v>0.04</v>
      </c>
      <c r="H19" s="5">
        <f t="shared" si="2"/>
        <v>615.6</v>
      </c>
      <c r="I19" s="5">
        <f t="shared" si="3"/>
        <v>16005.6</v>
      </c>
      <c r="J19" s="257">
        <f>J18</f>
        <v>0.89473684210526316</v>
      </c>
      <c r="K19" s="254">
        <f>K18</f>
        <v>0.10526315789473684</v>
      </c>
      <c r="L19">
        <f t="shared" si="4"/>
        <v>2018</v>
      </c>
      <c r="M19" s="418">
        <f>IF(ISERROR(VLOOKUP(C19,'TABLES-ACTUAL &amp; FUTURE RATES'!$AB$10:$AC$81,2,FALSE)),0,VLOOKUP(C19,'TABLES-ACTUAL &amp; FUTURE RATES'!$AB$10:$AC$81,2,FALSE))</f>
        <v>2.3188405797101449E-3</v>
      </c>
      <c r="N19" s="7">
        <f t="shared" si="5"/>
        <v>94.664347267532065</v>
      </c>
      <c r="O19" s="8">
        <f>O18+N19</f>
        <v>15155.945811798423</v>
      </c>
      <c r="P19" s="8">
        <f>P18+O19</f>
        <v>30217.227276329315</v>
      </c>
      <c r="Q19" s="9">
        <f t="shared" si="6"/>
        <v>-849.6541882015772</v>
      </c>
      <c r="R19" s="9">
        <f>R18+Q19</f>
        <v>-1178.3727236706854</v>
      </c>
      <c r="T19" s="93">
        <f>IF(ISERROR(VLOOKUP(C19,'TABLES-ACTUAL &amp; FUTURE RATES'!$AD$10:$AE$81,2,FALSE)),0,VLOOKUP(C19,'TABLES-ACTUAL &amp; FUTURE RATES'!$AD$10:$AE$81,2,FALSE))</f>
        <v>2.3188405797101449E-3</v>
      </c>
      <c r="U19" s="7">
        <f t="shared" si="7"/>
        <v>94.664347267532065</v>
      </c>
      <c r="V19" s="8">
        <f>V18+U19</f>
        <v>15155.945811798423</v>
      </c>
      <c r="W19" s="9">
        <f t="shared" si="8"/>
        <v>-849.6541882015772</v>
      </c>
      <c r="X19" s="9">
        <f>X18+W19</f>
        <v>-1178.3727236706854</v>
      </c>
      <c r="Z19" s="93">
        <f>IF(ISERROR(VLOOKUP(C19,'TABLES-ACTUAL &amp; FUTURE RATES'!$AF$10:$AG$81,2,FALSE)),0,VLOOKUP(C19,'TABLES-ACTUAL &amp; FUTURE RATES'!$AF$10:$AG$81,2,FALSE))</f>
        <v>2.3188405797101449E-3</v>
      </c>
      <c r="AA19" s="7">
        <f t="shared" si="9"/>
        <v>94.664347267532065</v>
      </c>
      <c r="AB19" s="8">
        <f>AB18+AA19</f>
        <v>15155.945811798423</v>
      </c>
      <c r="AC19" s="9">
        <f t="shared" si="10"/>
        <v>-849.6541882015772</v>
      </c>
      <c r="AD19" s="9">
        <f>AD18+AC19</f>
        <v>-1178.3727236706854</v>
      </c>
      <c r="AF19" s="93">
        <f>IF(ISERROR(VLOOKUP(C19,'TABLES-ACTUAL &amp; FUTURE RATES'!$AH$10:$AI$81,2,FALSE)),0,VLOOKUP(C19,'TABLES-ACTUAL &amp; FUTURE RATES'!$AH$10:$AI$81,2,FALSE))</f>
        <v>2.3188405797101449E-3</v>
      </c>
      <c r="AG19" s="7">
        <f t="shared" si="11"/>
        <v>94.664347267532065</v>
      </c>
      <c r="AH19" s="8">
        <f>AH18+AG19</f>
        <v>15155.945811798423</v>
      </c>
      <c r="AI19" s="24">
        <f t="shared" si="12"/>
        <v>-849.6541882015772</v>
      </c>
      <c r="AJ19" s="9">
        <f>AJ18+AI19</f>
        <v>-1178.3727236706854</v>
      </c>
      <c r="AL19" s="93">
        <f>IF(ISERROR(VLOOKUP(C19,'TABLES-ACTUAL &amp; FUTURE RATES'!$AJ$10:$AK$81,2,FALSE)),0,VLOOKUP(C19,'TABLES-ACTUAL &amp; FUTURE RATES'!$AJ$10:$AK$81,2,FALSE))</f>
        <v>2.3188405797101449E-3</v>
      </c>
      <c r="AM19" s="7">
        <f t="shared" si="13"/>
        <v>94.664347267532065</v>
      </c>
      <c r="AN19" s="8">
        <f>AN18+AM19</f>
        <v>15155.945811798423</v>
      </c>
      <c r="AO19" s="9">
        <f t="shared" si="14"/>
        <v>-849.6541882015772</v>
      </c>
      <c r="AP19" s="9">
        <f>AP18+AO19</f>
        <v>-1178.3727236706854</v>
      </c>
      <c r="AR19" s="32" t="str">
        <f>IF(ISERROR(VLOOKUP(C19,'TABLES-ACTUAL &amp; FUTURE RATES'!$AL$10:$AN$81,3,FALSE)),0,VLOOKUP(C19,'TABLES-ACTUAL &amp; FUTURE RATES'!$AL$10:$AN$81,3,FALSE))</f>
        <v>Actual</v>
      </c>
      <c r="AS19" s="93">
        <f>IF(ISERROR(VLOOKUP(C19,'TABLES-ACTUAL &amp; FUTURE RATES'!$AL$10:$AM$81,2,FALSE)),0,VLOOKUP(C19,'TABLES-ACTUAL &amp; FUTURE RATES'!$AL$10:$AM$81,2,FALSE))</f>
        <v>2.3188405797101449E-3</v>
      </c>
      <c r="AT19" s="7">
        <f t="shared" si="15"/>
        <v>94.664347267532065</v>
      </c>
      <c r="AU19" s="8">
        <f>AU18+AT19</f>
        <v>15155.945811798423</v>
      </c>
      <c r="AV19" s="9">
        <f t="shared" si="16"/>
        <v>-849.6541882015772</v>
      </c>
      <c r="AW19" s="9">
        <f>AW18+AV19</f>
        <v>-1178.3727236706854</v>
      </c>
      <c r="AY19">
        <f t="shared" si="17"/>
        <v>63</v>
      </c>
      <c r="AZ19" s="9">
        <f t="shared" ref="AZ19:AZ47" si="24">V19</f>
        <v>15155.945811798423</v>
      </c>
      <c r="BA19" s="9">
        <f t="shared" ref="BA19:BA47" si="25">AZ19-O19</f>
        <v>0</v>
      </c>
      <c r="BB19" s="9">
        <f>AZ19+BB18</f>
        <v>30217.227276329315</v>
      </c>
      <c r="BC19" s="9">
        <f t="shared" ref="BC19:BC47" si="26">BB19-P19</f>
        <v>0</v>
      </c>
      <c r="BD19" s="9">
        <f t="shared" ref="BD19:BD47" si="27">AB19</f>
        <v>15155.945811798423</v>
      </c>
      <c r="BE19" s="9">
        <f t="shared" ref="BE19:BE47" si="28">BD19-O19</f>
        <v>0</v>
      </c>
      <c r="BF19" s="9">
        <f>BD19+BF18</f>
        <v>30217.227276329315</v>
      </c>
      <c r="BG19" s="9">
        <f t="shared" ref="BG19:BG47" si="29">BF19-P19</f>
        <v>0</v>
      </c>
      <c r="BH19" s="9">
        <f t="shared" ref="BH19:BH47" si="30">AH19</f>
        <v>15155.945811798423</v>
      </c>
      <c r="BI19" s="9">
        <f t="shared" ref="BI19:BI47" si="31">BH19-O19</f>
        <v>0</v>
      </c>
      <c r="BJ19" s="9">
        <f>BH19+BJ18</f>
        <v>30217.227276329315</v>
      </c>
      <c r="BK19" s="9">
        <f t="shared" ref="BK19:BK47" si="32">BJ19-P19</f>
        <v>0</v>
      </c>
      <c r="BL19" s="9">
        <f t="shared" ref="BL19:BL47" si="33">AN19</f>
        <v>15155.945811798423</v>
      </c>
      <c r="BM19" s="9">
        <f t="shared" ref="BM19:BM47" si="34">BL19-O19</f>
        <v>0</v>
      </c>
      <c r="BN19" s="9">
        <f>BL19+BN18</f>
        <v>30217.227276329315</v>
      </c>
      <c r="BO19" s="9">
        <f t="shared" ref="BO19:BO47" si="35">BN19-P19</f>
        <v>0</v>
      </c>
      <c r="BP19" s="9">
        <f t="shared" ref="BP19:BP47" si="36">AU19</f>
        <v>15155.945811798423</v>
      </c>
      <c r="BQ19" s="9">
        <f t="shared" ref="BQ19:BQ47" si="37">BP19-O19</f>
        <v>0</v>
      </c>
      <c r="BR19" s="9">
        <f>BP19+BR18</f>
        <v>30217.227276329315</v>
      </c>
      <c r="BS19" s="9">
        <f t="shared" ref="BS19:BS47" si="38">BR19-P19</f>
        <v>0</v>
      </c>
      <c r="BV19" s="310">
        <f t="shared" si="18"/>
        <v>615.6</v>
      </c>
      <c r="BW19" s="311">
        <f t="shared" si="19"/>
        <v>16005.6</v>
      </c>
      <c r="BX19" s="315">
        <f t="shared" ref="BX19:BX47" si="39">BX18+G19</f>
        <v>6.6000000000000003E-2</v>
      </c>
      <c r="BY19" s="9">
        <f t="shared" si="20"/>
        <v>990</v>
      </c>
      <c r="BZ19" s="263">
        <f t="shared" si="21"/>
        <v>15990</v>
      </c>
      <c r="CA19" s="299"/>
    </row>
    <row r="20" spans="2:79" ht="17" thickBot="1">
      <c r="C20" s="262">
        <f t="shared" si="22"/>
        <v>2019</v>
      </c>
      <c r="D20" s="57">
        <f t="shared" si="23"/>
        <v>64</v>
      </c>
      <c r="E20" s="31">
        <f t="shared" ref="E20:E46" si="40">E19+1</f>
        <v>3</v>
      </c>
      <c r="F20" s="5">
        <f t="shared" ref="F20:F36" si="41">I19</f>
        <v>16005.6</v>
      </c>
      <c r="G20" s="94">
        <f>IF(ISERROR(VLOOKUP(C20,'TABLES-ACTUAL &amp; FUTURE RATES'!$V$10:$X$81,2,FALSE)),0,VLOOKUP(C20,'TABLES-ACTUAL &amp; FUTURE RATES'!$V$10:$X$81,2,FALSE))</f>
        <v>2.5399999999999999E-2</v>
      </c>
      <c r="H20" s="5">
        <f t="shared" si="2"/>
        <v>406.54223999999999</v>
      </c>
      <c r="I20" s="5">
        <f t="shared" si="3"/>
        <v>16412.142240000001</v>
      </c>
      <c r="J20" s="257">
        <f t="shared" ref="J20:J46" si="42">J19</f>
        <v>0.89473684210526316</v>
      </c>
      <c r="K20" s="254">
        <f t="shared" ref="K20:K46" si="43">K19</f>
        <v>0.10526315789473684</v>
      </c>
      <c r="L20">
        <f t="shared" si="4"/>
        <v>2019</v>
      </c>
      <c r="M20" s="418">
        <f>IF(ISERROR(VLOOKUP(C20,'TABLES-ACTUAL &amp; FUTURE RATES'!$AB$10:$AC$81,2,FALSE)),0,VLOOKUP(C20,'TABLES-ACTUAL &amp; FUTURE RATES'!$AB$10:$AC$81,2,FALSE))</f>
        <v>1.4724637681159418E-3</v>
      </c>
      <c r="N20" s="7">
        <f t="shared" si="5"/>
        <v>60.489680294167854</v>
      </c>
      <c r="O20" s="8">
        <f t="shared" ref="O20:O36" si="44">O19+N20</f>
        <v>15216.435492092591</v>
      </c>
      <c r="P20" s="8">
        <f t="shared" ref="P20:P47" si="45">P19+O20</f>
        <v>45433.662768421906</v>
      </c>
      <c r="Q20" s="9">
        <f t="shared" si="6"/>
        <v>-1195.7067479074103</v>
      </c>
      <c r="R20" s="9">
        <f t="shared" ref="R20:R36" si="46">R19+Q20</f>
        <v>-2374.0794715780958</v>
      </c>
      <c r="T20" s="93">
        <f>IF(ISERROR(VLOOKUP(C20,'TABLES-ACTUAL &amp; FUTURE RATES'!$AD$10:$AE$81,2,FALSE)),0,VLOOKUP(C20,'TABLES-ACTUAL &amp; FUTURE RATES'!$AD$10:$AE$81,2,FALSE))</f>
        <v>0</v>
      </c>
      <c r="U20" s="7">
        <f t="shared" si="7"/>
        <v>40.522213012597881</v>
      </c>
      <c r="V20" s="8">
        <f t="shared" ref="V20:V36" si="47">V19+U20</f>
        <v>15196.468024811022</v>
      </c>
      <c r="W20" s="9">
        <f t="shared" si="8"/>
        <v>-1215.6742151889794</v>
      </c>
      <c r="X20" s="9">
        <f t="shared" ref="X20:X36" si="48">X19+W20</f>
        <v>-2394.0469388596648</v>
      </c>
      <c r="Z20" s="93">
        <f>IF(ISERROR(VLOOKUP(C20,'TABLES-ACTUAL &amp; FUTURE RATES'!$AF$10:$AG$81,2,FALSE)),0,VLOOKUP(C20,'TABLES-ACTUAL &amp; FUTURE RATES'!$AF$10:$AG$81,2,FALSE))</f>
        <v>0</v>
      </c>
      <c r="AA20" s="7">
        <f t="shared" si="9"/>
        <v>40.522213012597881</v>
      </c>
      <c r="AB20" s="8">
        <f t="shared" ref="AB20:AB36" si="49">AB19+AA20</f>
        <v>15196.468024811022</v>
      </c>
      <c r="AC20" s="9">
        <f t="shared" si="10"/>
        <v>-1215.6742151889794</v>
      </c>
      <c r="AD20" s="9">
        <f t="shared" ref="AD20:AD36" si="50">AD19+AC20</f>
        <v>-2394.0469388596648</v>
      </c>
      <c r="AF20" s="93">
        <f>IF(ISERROR(VLOOKUP(C20,'TABLES-ACTUAL &amp; FUTURE RATES'!$AH$10:$AI$81,2,FALSE)),0,VLOOKUP(C20,'TABLES-ACTUAL &amp; FUTURE RATES'!$AH$10:$AI$81,2,FALSE))</f>
        <v>0</v>
      </c>
      <c r="AG20" s="7">
        <f t="shared" si="11"/>
        <v>40.522213012597881</v>
      </c>
      <c r="AH20" s="8">
        <f t="shared" ref="AH20:AH36" si="51">AH19+AG20</f>
        <v>15196.468024811022</v>
      </c>
      <c r="AI20" s="24">
        <f t="shared" si="12"/>
        <v>-1215.6742151889794</v>
      </c>
      <c r="AJ20" s="9">
        <f t="shared" ref="AJ20:AJ36" si="52">AJ19+AI20</f>
        <v>-2394.0469388596648</v>
      </c>
      <c r="AL20" s="93">
        <f>IF(ISERROR(VLOOKUP(C20,'TABLES-ACTUAL &amp; FUTURE RATES'!$AJ$10:$AK$81,2,FALSE)),0,VLOOKUP(C20,'TABLES-ACTUAL &amp; FUTURE RATES'!$AJ$10:$AK$81,2,FALSE))</f>
        <v>0</v>
      </c>
      <c r="AM20" s="7">
        <f t="shared" si="13"/>
        <v>40.522213012597881</v>
      </c>
      <c r="AN20" s="8">
        <f t="shared" ref="AN20:AN36" si="53">AN19+AM20</f>
        <v>15196.468024811022</v>
      </c>
      <c r="AO20" s="9">
        <f t="shared" si="14"/>
        <v>-1215.6742151889794</v>
      </c>
      <c r="AP20" s="9">
        <f t="shared" ref="AP20:AP36" si="54">AP19+AO20</f>
        <v>-2394.0469388596648</v>
      </c>
      <c r="AR20" s="32" t="str">
        <f>IF(ISERROR(VLOOKUP(C20,'TABLES-ACTUAL &amp; FUTURE RATES'!$AL$10:$AN$81,3,FALSE)),0,VLOOKUP(C20,'TABLES-ACTUAL &amp; FUTURE RATES'!$AL$10:$AN$81,3,FALSE))</f>
        <v>Actual</v>
      </c>
      <c r="AS20" s="93">
        <f>IF(ISERROR(VLOOKUP(C20,'TABLES-ACTUAL &amp; FUTURE RATES'!$AL$10:$AM$81,2,FALSE)),0,VLOOKUP(C20,'TABLES-ACTUAL &amp; FUTURE RATES'!$AL$10:$AM$81,2,FALSE))</f>
        <v>0</v>
      </c>
      <c r="AT20" s="7">
        <f t="shared" si="15"/>
        <v>40.522213012597881</v>
      </c>
      <c r="AU20" s="8">
        <f t="shared" ref="AU20:AU36" si="55">AU19+AT20</f>
        <v>15196.468024811022</v>
      </c>
      <c r="AV20" s="9">
        <f t="shared" si="16"/>
        <v>-1215.6742151889794</v>
      </c>
      <c r="AW20" s="9">
        <f t="shared" ref="AW20:AW36" si="56">AW19+AV20</f>
        <v>-2394.0469388596648</v>
      </c>
      <c r="AY20">
        <f t="shared" si="17"/>
        <v>64</v>
      </c>
      <c r="AZ20" s="9">
        <f t="shared" si="24"/>
        <v>15196.468024811022</v>
      </c>
      <c r="BA20" s="9">
        <f t="shared" si="25"/>
        <v>-19.967467281569043</v>
      </c>
      <c r="BB20" s="9">
        <f t="shared" ref="BB20:BB47" si="57">AZ20+BB19</f>
        <v>45413.695301140338</v>
      </c>
      <c r="BC20" s="9">
        <f t="shared" si="26"/>
        <v>-19.967467281567224</v>
      </c>
      <c r="BD20" s="9">
        <f t="shared" si="27"/>
        <v>15196.468024811022</v>
      </c>
      <c r="BE20" s="9">
        <f t="shared" si="28"/>
        <v>-19.967467281569043</v>
      </c>
      <c r="BF20" s="9">
        <f t="shared" ref="BF20:BF47" si="58">BD20+BF19</f>
        <v>45413.695301140338</v>
      </c>
      <c r="BG20" s="9">
        <f t="shared" si="29"/>
        <v>-19.967467281567224</v>
      </c>
      <c r="BH20" s="9">
        <f t="shared" si="30"/>
        <v>15196.468024811022</v>
      </c>
      <c r="BI20" s="9">
        <f t="shared" si="31"/>
        <v>-19.967467281569043</v>
      </c>
      <c r="BJ20" s="9">
        <f t="shared" ref="BJ20:BJ47" si="59">BH20+BJ19</f>
        <v>45413.695301140338</v>
      </c>
      <c r="BK20" s="9">
        <f t="shared" si="32"/>
        <v>-19.967467281567224</v>
      </c>
      <c r="BL20" s="9">
        <f t="shared" si="33"/>
        <v>15196.468024811022</v>
      </c>
      <c r="BM20" s="9">
        <f t="shared" si="34"/>
        <v>-19.967467281569043</v>
      </c>
      <c r="BN20" s="9">
        <f t="shared" ref="BN20:BN47" si="60">BL20+BN19</f>
        <v>45413.695301140338</v>
      </c>
      <c r="BO20" s="9">
        <f t="shared" si="35"/>
        <v>-19.967467281567224</v>
      </c>
      <c r="BP20" s="9">
        <f t="shared" si="36"/>
        <v>15196.468024811022</v>
      </c>
      <c r="BQ20" s="9">
        <f t="shared" si="37"/>
        <v>-19.967467281569043</v>
      </c>
      <c r="BR20" s="9">
        <f t="shared" ref="BR20:BR47" si="61">BP20+BR19</f>
        <v>45413.695301140338</v>
      </c>
      <c r="BS20" s="9">
        <f t="shared" si="38"/>
        <v>-19.967467281567224</v>
      </c>
      <c r="BV20" s="310">
        <f t="shared" si="18"/>
        <v>406.54223999999999</v>
      </c>
      <c r="BW20" s="311">
        <f t="shared" si="19"/>
        <v>16412.142240000001</v>
      </c>
      <c r="BX20" s="315">
        <f t="shared" si="39"/>
        <v>9.1400000000000009E-2</v>
      </c>
      <c r="BY20" s="9">
        <f t="shared" si="20"/>
        <v>1371.0000000000002</v>
      </c>
      <c r="BZ20" s="263">
        <f t="shared" si="21"/>
        <v>16371</v>
      </c>
      <c r="CA20" s="299"/>
    </row>
    <row r="21" spans="2:79" ht="17" thickBot="1">
      <c r="C21" s="262">
        <f t="shared" si="22"/>
        <v>2020</v>
      </c>
      <c r="D21" s="57">
        <f t="shared" si="23"/>
        <v>65</v>
      </c>
      <c r="E21" s="49">
        <f t="shared" si="40"/>
        <v>4</v>
      </c>
      <c r="F21" s="46">
        <f t="shared" si="41"/>
        <v>16412.142240000001</v>
      </c>
      <c r="G21" s="94">
        <f>IF(ISERROR(VLOOKUP(C21,'TABLES-ACTUAL &amp; FUTURE RATES'!$V$10:$X$81,2,FALSE)),0,VLOOKUP(C21,'TABLES-ACTUAL &amp; FUTURE RATES'!$V$10:$X$81,2,FALSE))</f>
        <v>2.69E-2</v>
      </c>
      <c r="H21" s="5">
        <f t="shared" si="2"/>
        <v>441.48662625600002</v>
      </c>
      <c r="I21" s="5">
        <f t="shared" si="3"/>
        <v>16853.628866256</v>
      </c>
      <c r="J21" s="257">
        <f t="shared" si="42"/>
        <v>0.89473684210526316</v>
      </c>
      <c r="K21" s="254">
        <f t="shared" si="43"/>
        <v>0.10526315789473684</v>
      </c>
      <c r="L21">
        <f t="shared" si="4"/>
        <v>2020</v>
      </c>
      <c r="M21" s="418">
        <f>IF(ISERROR(VLOOKUP(C21,'TABLES-ACTUAL &amp; FUTURE RATES'!$AB$10:$AC$81,2,FALSE)),0,VLOOKUP(C21,'TABLES-ACTUAL &amp; FUTURE RATES'!$AB$10:$AC$81,2,FALSE))</f>
        <v>1.5594202898550724E-3</v>
      </c>
      <c r="N21" s="7">
        <f t="shared" si="5"/>
        <v>64.317586297392737</v>
      </c>
      <c r="O21" s="47">
        <f t="shared" si="44"/>
        <v>15280.753078389984</v>
      </c>
      <c r="P21" s="8">
        <f t="shared" si="45"/>
        <v>60714.415846811891</v>
      </c>
      <c r="Q21" s="9">
        <f t="shared" si="6"/>
        <v>-1572.8757878660163</v>
      </c>
      <c r="R21" s="48">
        <f t="shared" si="46"/>
        <v>-3946.955259444112</v>
      </c>
      <c r="T21" s="93">
        <f>IF(ISERROR(VLOOKUP(C21,'TABLES-ACTUAL &amp; FUTURE RATES'!$AD$10:$AE$81,2,FALSE)),0,VLOOKUP(C21,'TABLES-ACTUAL &amp; FUTURE RATES'!$AD$10:$AE$81,2,FALSE))</f>
        <v>0</v>
      </c>
      <c r="U21" s="7">
        <f t="shared" si="7"/>
        <v>43.029998933412259</v>
      </c>
      <c r="V21" s="47">
        <f t="shared" si="47"/>
        <v>15239.498023744434</v>
      </c>
      <c r="W21" s="9">
        <f t="shared" si="8"/>
        <v>-1614.1308425115658</v>
      </c>
      <c r="X21" s="48">
        <f t="shared" si="48"/>
        <v>-4008.1777813712306</v>
      </c>
      <c r="Z21" s="93">
        <f>IF(ISERROR(VLOOKUP(C21,'TABLES-ACTUAL &amp; FUTURE RATES'!$AF$10:$AG$81,2,FALSE)),0,VLOOKUP(C21,'TABLES-ACTUAL &amp; FUTURE RATES'!$AF$10:$AG$81,2,FALSE))</f>
        <v>0</v>
      </c>
      <c r="AA21" s="7">
        <f t="shared" si="9"/>
        <v>43.029998933412259</v>
      </c>
      <c r="AB21" s="47">
        <f t="shared" si="49"/>
        <v>15239.498023744434</v>
      </c>
      <c r="AC21" s="9">
        <f t="shared" si="10"/>
        <v>-1614.1308425115658</v>
      </c>
      <c r="AD21" s="48">
        <f t="shared" si="50"/>
        <v>-4008.1777813712306</v>
      </c>
      <c r="AF21" s="93">
        <f>IF(ISERROR(VLOOKUP(C21,'TABLES-ACTUAL &amp; FUTURE RATES'!$AH$10:$AI$81,2,FALSE)),0,VLOOKUP(C21,'TABLES-ACTUAL &amp; FUTURE RATES'!$AH$10:$AI$81,2,FALSE))</f>
        <v>0</v>
      </c>
      <c r="AG21" s="7">
        <f t="shared" si="11"/>
        <v>43.029998933412259</v>
      </c>
      <c r="AH21" s="47">
        <f t="shared" si="51"/>
        <v>15239.498023744434</v>
      </c>
      <c r="AI21" s="24">
        <f t="shared" si="12"/>
        <v>-1614.1308425115658</v>
      </c>
      <c r="AJ21" s="48">
        <f t="shared" si="52"/>
        <v>-4008.1777813712306</v>
      </c>
      <c r="AL21" s="93">
        <f>IF(ISERROR(VLOOKUP(C21,'TABLES-ACTUAL &amp; FUTURE RATES'!$AJ$10:$AK$81,2,FALSE)),0,VLOOKUP(C21,'TABLES-ACTUAL &amp; FUTURE RATES'!$AJ$10:$AK$81,2,FALSE))</f>
        <v>0</v>
      </c>
      <c r="AM21" s="7">
        <f t="shared" si="13"/>
        <v>43.029998933412259</v>
      </c>
      <c r="AN21" s="47">
        <f t="shared" si="53"/>
        <v>15239.498023744434</v>
      </c>
      <c r="AO21" s="9">
        <f t="shared" si="14"/>
        <v>-1614.1308425115658</v>
      </c>
      <c r="AP21" s="48">
        <f t="shared" si="54"/>
        <v>-4008.1777813712306</v>
      </c>
      <c r="AR21" s="32" t="str">
        <f>IF(ISERROR(VLOOKUP(C21,'TABLES-ACTUAL &amp; FUTURE RATES'!$AL$10:$AN$81,3,FALSE)),0,VLOOKUP(C21,'TABLES-ACTUAL &amp; FUTURE RATES'!$AL$10:$AN$81,3,FALSE))</f>
        <v>Actual</v>
      </c>
      <c r="AS21" s="93">
        <f>IF(ISERROR(VLOOKUP(C21,'TABLES-ACTUAL &amp; FUTURE RATES'!$AL$10:$AM$81,2,FALSE)),0,VLOOKUP(C21,'TABLES-ACTUAL &amp; FUTURE RATES'!$AL$10:$AM$81,2,FALSE))</f>
        <v>0</v>
      </c>
      <c r="AT21" s="7">
        <f t="shared" si="15"/>
        <v>43.029998933412259</v>
      </c>
      <c r="AU21" s="47">
        <f t="shared" si="55"/>
        <v>15239.498023744434</v>
      </c>
      <c r="AV21" s="9">
        <f t="shared" si="16"/>
        <v>-1614.1308425115658</v>
      </c>
      <c r="AW21" s="48">
        <f t="shared" si="56"/>
        <v>-4008.1777813712306</v>
      </c>
      <c r="AY21">
        <f t="shared" si="17"/>
        <v>65</v>
      </c>
      <c r="AZ21" s="9">
        <f t="shared" si="24"/>
        <v>15239.498023744434</v>
      </c>
      <c r="BA21" s="9">
        <f t="shared" si="25"/>
        <v>-41.255054645549535</v>
      </c>
      <c r="BB21" s="9">
        <f t="shared" si="57"/>
        <v>60653.193324884771</v>
      </c>
      <c r="BC21" s="9">
        <f t="shared" si="26"/>
        <v>-61.222521927120397</v>
      </c>
      <c r="BD21" s="9">
        <f t="shared" si="27"/>
        <v>15239.498023744434</v>
      </c>
      <c r="BE21" s="9">
        <f t="shared" si="28"/>
        <v>-41.255054645549535</v>
      </c>
      <c r="BF21" s="9">
        <f t="shared" si="58"/>
        <v>60653.193324884771</v>
      </c>
      <c r="BG21" s="9">
        <f t="shared" si="29"/>
        <v>-61.222521927120397</v>
      </c>
      <c r="BH21" s="9">
        <f t="shared" si="30"/>
        <v>15239.498023744434</v>
      </c>
      <c r="BI21" s="9">
        <f t="shared" si="31"/>
        <v>-41.255054645549535</v>
      </c>
      <c r="BJ21" s="9">
        <f t="shared" si="59"/>
        <v>60653.193324884771</v>
      </c>
      <c r="BK21" s="9">
        <f t="shared" si="32"/>
        <v>-61.222521927120397</v>
      </c>
      <c r="BL21" s="9">
        <f t="shared" si="33"/>
        <v>15239.498023744434</v>
      </c>
      <c r="BM21" s="9">
        <f t="shared" si="34"/>
        <v>-41.255054645549535</v>
      </c>
      <c r="BN21" s="9">
        <f t="shared" si="60"/>
        <v>60653.193324884771</v>
      </c>
      <c r="BO21" s="9">
        <f t="shared" si="35"/>
        <v>-61.222521927120397</v>
      </c>
      <c r="BP21" s="9">
        <f t="shared" si="36"/>
        <v>15239.498023744434</v>
      </c>
      <c r="BQ21" s="9">
        <f t="shared" si="37"/>
        <v>-41.255054645549535</v>
      </c>
      <c r="BR21" s="9">
        <f t="shared" si="61"/>
        <v>60653.193324884771</v>
      </c>
      <c r="BS21" s="9">
        <f t="shared" si="38"/>
        <v>-61.222521927120397</v>
      </c>
      <c r="BV21" s="310">
        <f t="shared" si="18"/>
        <v>441.48662625600002</v>
      </c>
      <c r="BW21" s="311">
        <f t="shared" si="19"/>
        <v>16853.628866256</v>
      </c>
      <c r="BX21" s="315">
        <f t="shared" si="39"/>
        <v>0.11830000000000002</v>
      </c>
      <c r="BY21" s="9">
        <f t="shared" si="20"/>
        <v>1774.5000000000002</v>
      </c>
      <c r="BZ21" s="263">
        <f t="shared" si="21"/>
        <v>16774.5</v>
      </c>
      <c r="CA21" s="299"/>
    </row>
    <row r="22" spans="2:79" ht="17" thickBot="1">
      <c r="C22" s="262">
        <f t="shared" si="22"/>
        <v>2021</v>
      </c>
      <c r="D22" s="57">
        <f t="shared" si="23"/>
        <v>66</v>
      </c>
      <c r="E22" s="62">
        <f t="shared" si="40"/>
        <v>5</v>
      </c>
      <c r="F22" s="50">
        <f t="shared" si="41"/>
        <v>16853.628866256</v>
      </c>
      <c r="G22" s="94">
        <f>IF(ISERROR(VLOOKUP(C22,'TABLES-ACTUAL &amp; FUTURE RATES'!$V$10:$X$81,2,FALSE)),0,VLOOKUP(C22,'TABLES-ACTUAL &amp; FUTURE RATES'!$V$10:$X$81,2,FALSE))</f>
        <v>0.02</v>
      </c>
      <c r="H22" s="5">
        <f t="shared" si="2"/>
        <v>337.07257732511999</v>
      </c>
      <c r="I22" s="5">
        <f t="shared" si="3"/>
        <v>17190.701443581122</v>
      </c>
      <c r="J22" s="257">
        <f t="shared" si="42"/>
        <v>0.89473684210526316</v>
      </c>
      <c r="K22" s="254">
        <f t="shared" si="43"/>
        <v>0.10526315789473684</v>
      </c>
      <c r="L22">
        <f t="shared" si="4"/>
        <v>2021</v>
      </c>
      <c r="M22" s="418">
        <f>IF(ISERROR(VLOOKUP(C22,'TABLES-ACTUAL &amp; FUTURE RATES'!$AB$10:$AC$81,2,FALSE)),0,VLOOKUP(C22,'TABLES-ACTUAL &amp; FUTURE RATES'!$AB$10:$AC$81,2,FALSE))</f>
        <v>1.1594202898550724E-3</v>
      </c>
      <c r="N22" s="7">
        <f t="shared" si="5"/>
        <v>48.021893732240066</v>
      </c>
      <c r="O22" s="52">
        <f t="shared" si="44"/>
        <v>15328.774972122224</v>
      </c>
      <c r="P22" s="8">
        <f t="shared" si="45"/>
        <v>76043.190818934119</v>
      </c>
      <c r="Q22" s="9">
        <f t="shared" si="6"/>
        <v>-1861.9264714588971</v>
      </c>
      <c r="R22" s="53">
        <f t="shared" si="46"/>
        <v>-5808.8817309030092</v>
      </c>
      <c r="S22" s="51"/>
      <c r="T22" s="93">
        <f>IF(ISERROR(VLOOKUP(C22,'TABLES-ACTUAL &amp; FUTURE RATES'!$AD$10:$AE$81,2,FALSE)),0,VLOOKUP(C22,'TABLES-ACTUAL &amp; FUTURE RATES'!$AD$10:$AE$81,2,FALSE))</f>
        <v>0.01</v>
      </c>
      <c r="U22" s="7">
        <f t="shared" si="7"/>
        <v>168.43655710454374</v>
      </c>
      <c r="V22" s="52">
        <f t="shared" si="47"/>
        <v>15407.934580848978</v>
      </c>
      <c r="W22" s="9">
        <f t="shared" si="8"/>
        <v>-1782.7668627321436</v>
      </c>
      <c r="X22" s="53">
        <f t="shared" si="48"/>
        <v>-5790.9446441033742</v>
      </c>
      <c r="Y22" s="51"/>
      <c r="Z22" s="93">
        <f>IF(ISERROR(VLOOKUP(C22,'TABLES-ACTUAL &amp; FUTURE RATES'!$AF$10:$AG$81,2,FALSE)),0,VLOOKUP(C22,'TABLES-ACTUAL &amp; FUTURE RATES'!$AF$10:$AG$81,2,FALSE))</f>
        <v>1.1594202898550724E-3</v>
      </c>
      <c r="AA22" s="7">
        <f t="shared" si="9"/>
        <v>47.8922439800359</v>
      </c>
      <c r="AB22" s="52">
        <f t="shared" si="49"/>
        <v>15287.39026772447</v>
      </c>
      <c r="AC22" s="9">
        <f t="shared" si="10"/>
        <v>-1903.311175856652</v>
      </c>
      <c r="AD22" s="53">
        <f t="shared" si="50"/>
        <v>-5911.4889572278826</v>
      </c>
      <c r="AE22" s="51"/>
      <c r="AF22" s="93">
        <f>IF(ISERROR(VLOOKUP(C22,'TABLES-ACTUAL &amp; FUTURE RATES'!$AH$10:$AI$81,2,FALSE)),0,VLOOKUP(C22,'TABLES-ACTUAL &amp; FUTURE RATES'!$AH$10:$AI$81,2,FALSE))</f>
        <v>5.7971014492753622E-4</v>
      </c>
      <c r="AG22" s="7">
        <f t="shared" si="11"/>
        <v>39.987698857117358</v>
      </c>
      <c r="AH22" s="52">
        <f t="shared" si="51"/>
        <v>15279.485722601552</v>
      </c>
      <c r="AI22" s="24">
        <f t="shared" si="12"/>
        <v>-1911.2157209795696</v>
      </c>
      <c r="AJ22" s="53">
        <f t="shared" si="52"/>
        <v>-5919.3935023508002</v>
      </c>
      <c r="AK22" s="51"/>
      <c r="AL22" s="93">
        <f>IF(ISERROR(VLOOKUP(C22,'TABLES-ACTUAL &amp; FUTURE RATES'!$AJ$10:$AK$81,2,FALSE)),0,VLOOKUP(C22,'TABLES-ACTUAL &amp; FUTURE RATES'!$AJ$10:$AK$81,2,FALSE))</f>
        <v>5.7971014492753622E-4</v>
      </c>
      <c r="AM22" s="7">
        <f t="shared" si="13"/>
        <v>39.987698857117358</v>
      </c>
      <c r="AN22" s="52">
        <f t="shared" si="53"/>
        <v>15279.485722601552</v>
      </c>
      <c r="AO22" s="9">
        <f t="shared" si="14"/>
        <v>-1911.2157209795696</v>
      </c>
      <c r="AP22" s="53">
        <f t="shared" si="54"/>
        <v>-5919.3935023508002</v>
      </c>
      <c r="AQ22" s="51"/>
      <c r="AR22" s="32">
        <f>IF(ISERROR(VLOOKUP(C22,'TABLES-ACTUAL &amp; FUTURE RATES'!$AL$10:$AN$81,3,FALSE)),0,VLOOKUP(C22,'TABLES-ACTUAL &amp; FUTURE RATES'!$AL$10:$AN$81,3,FALSE))</f>
        <v>1</v>
      </c>
      <c r="AS22" s="93">
        <f>IF(ISERROR(VLOOKUP(C22,'TABLES-ACTUAL &amp; FUTURE RATES'!$AL$10:$AM$81,2,FALSE)),0,VLOOKUP(C22,'TABLES-ACTUAL &amp; FUTURE RATES'!$AL$10:$AM$81,2,FALSE))</f>
        <v>1.1594202898550724E-3</v>
      </c>
      <c r="AT22" s="7">
        <f t="shared" si="15"/>
        <v>47.8922439800359</v>
      </c>
      <c r="AU22" s="52">
        <f t="shared" si="55"/>
        <v>15287.39026772447</v>
      </c>
      <c r="AV22" s="9">
        <f t="shared" si="16"/>
        <v>-1903.311175856652</v>
      </c>
      <c r="AW22" s="54">
        <f t="shared" si="56"/>
        <v>-5911.4889572278826</v>
      </c>
      <c r="AX22" s="225"/>
      <c r="AY22">
        <f t="shared" si="17"/>
        <v>66</v>
      </c>
      <c r="AZ22" s="9">
        <f t="shared" si="24"/>
        <v>15407.934580848978</v>
      </c>
      <c r="BA22" s="9">
        <f t="shared" si="25"/>
        <v>79.159608726753504</v>
      </c>
      <c r="BB22" s="9">
        <f t="shared" si="57"/>
        <v>76061.127905733752</v>
      </c>
      <c r="BC22" s="9">
        <f t="shared" si="26"/>
        <v>17.937086799633107</v>
      </c>
      <c r="BD22" s="9">
        <f t="shared" si="27"/>
        <v>15287.39026772447</v>
      </c>
      <c r="BE22" s="9">
        <f t="shared" si="28"/>
        <v>-41.384704397754831</v>
      </c>
      <c r="BF22" s="9">
        <f t="shared" si="58"/>
        <v>75940.58359260924</v>
      </c>
      <c r="BG22" s="9">
        <f t="shared" si="29"/>
        <v>-102.60722632487887</v>
      </c>
      <c r="BH22" s="9">
        <f t="shared" si="30"/>
        <v>15279.485722601552</v>
      </c>
      <c r="BI22" s="9">
        <f t="shared" si="31"/>
        <v>-49.289249520672456</v>
      </c>
      <c r="BJ22" s="9">
        <f t="shared" si="59"/>
        <v>75932.679047486323</v>
      </c>
      <c r="BK22" s="9">
        <f t="shared" si="32"/>
        <v>-110.51177144779649</v>
      </c>
      <c r="BL22" s="9">
        <f t="shared" si="33"/>
        <v>15279.485722601552</v>
      </c>
      <c r="BM22" s="9">
        <f t="shared" si="34"/>
        <v>-49.289249520672456</v>
      </c>
      <c r="BN22" s="9">
        <f t="shared" si="60"/>
        <v>75932.679047486323</v>
      </c>
      <c r="BO22" s="9">
        <f t="shared" si="35"/>
        <v>-110.51177144779649</v>
      </c>
      <c r="BP22" s="9">
        <f t="shared" si="36"/>
        <v>15287.39026772447</v>
      </c>
      <c r="BQ22" s="9">
        <f t="shared" si="37"/>
        <v>-41.384704397754831</v>
      </c>
      <c r="BR22" s="9">
        <f t="shared" si="61"/>
        <v>75940.58359260924</v>
      </c>
      <c r="BS22" s="9">
        <f t="shared" si="38"/>
        <v>-102.60722632487887</v>
      </c>
      <c r="BV22" s="310">
        <f t="shared" si="18"/>
        <v>337.07257732511999</v>
      </c>
      <c r="BW22" s="311">
        <f t="shared" si="19"/>
        <v>17190.701443581122</v>
      </c>
      <c r="BX22" s="315">
        <f t="shared" si="39"/>
        <v>0.13830000000000001</v>
      </c>
      <c r="BY22" s="9">
        <f t="shared" si="20"/>
        <v>2074.5</v>
      </c>
      <c r="BZ22" s="263">
        <f t="shared" si="21"/>
        <v>17074.5</v>
      </c>
      <c r="CA22" s="299"/>
    </row>
    <row r="23" spans="2:79" ht="17" thickBot="1">
      <c r="C23" s="262">
        <f t="shared" si="22"/>
        <v>2022</v>
      </c>
      <c r="D23" s="57">
        <f t="shared" si="23"/>
        <v>67</v>
      </c>
      <c r="E23" s="63">
        <f t="shared" si="40"/>
        <v>6</v>
      </c>
      <c r="F23" s="10">
        <f t="shared" si="41"/>
        <v>17190.701443581122</v>
      </c>
      <c r="G23" s="94">
        <f>IF(ISERROR(VLOOKUP(C23,'TABLES-ACTUAL &amp; FUTURE RATES'!$V$10:$X$81,2,FALSE)),0,VLOOKUP(C23,'TABLES-ACTUAL &amp; FUTURE RATES'!$V$10:$X$81,2,FALSE))</f>
        <v>0.02</v>
      </c>
      <c r="H23" s="5">
        <f t="shared" si="2"/>
        <v>343.81402887162244</v>
      </c>
      <c r="I23" s="5">
        <f t="shared" si="3"/>
        <v>17534.515472452746</v>
      </c>
      <c r="J23" s="257">
        <f t="shared" si="42"/>
        <v>0.89473684210526316</v>
      </c>
      <c r="K23" s="254">
        <f t="shared" si="43"/>
        <v>0.10526315789473684</v>
      </c>
      <c r="L23">
        <f t="shared" si="4"/>
        <v>2022</v>
      </c>
      <c r="M23" s="418">
        <f>IF(ISERROR(VLOOKUP(C23,'TABLES-ACTUAL &amp; FUTURE RATES'!$AB$10:$AC$81,2,FALSE)),0,VLOOKUP(C23,'TABLES-ACTUAL &amp; FUTURE RATES'!$AB$10:$AC$81,2,FALSE))</f>
        <v>1.1594202898550724E-3</v>
      </c>
      <c r="N23" s="7">
        <f t="shared" si="5"/>
        <v>48.172809218263595</v>
      </c>
      <c r="O23" s="23">
        <f t="shared" si="44"/>
        <v>15376.947781340488</v>
      </c>
      <c r="P23" s="8">
        <f t="shared" si="45"/>
        <v>91420.1386002746</v>
      </c>
      <c r="Q23" s="9">
        <f t="shared" si="6"/>
        <v>-2157.5676911122573</v>
      </c>
      <c r="R23" s="24">
        <f t="shared" si="46"/>
        <v>-7966.4494220152665</v>
      </c>
      <c r="T23" s="93">
        <f>IF(ISERROR(VLOOKUP(C23,'TABLES-ACTUAL &amp; FUTURE RATES'!$AD$10:$AE$81,2,FALSE)),0,VLOOKUP(C23,'TABLES-ACTUAL &amp; FUTURE RATES'!$AD$10:$AE$81,2,FALSE))</f>
        <v>0</v>
      </c>
      <c r="U23" s="7">
        <f t="shared" si="7"/>
        <v>32.437757012313639</v>
      </c>
      <c r="V23" s="23">
        <f t="shared" si="47"/>
        <v>15440.372337861292</v>
      </c>
      <c r="W23" s="9">
        <f t="shared" si="8"/>
        <v>-2094.1431345914534</v>
      </c>
      <c r="X23" s="24">
        <f t="shared" si="48"/>
        <v>-7885.0877786948276</v>
      </c>
      <c r="Z23" s="93">
        <f>IF(ISERROR(VLOOKUP(C23,'TABLES-ACTUAL &amp; FUTURE RATES'!$AF$10:$AG$81,2,FALSE)),0,VLOOKUP(C23,'TABLES-ACTUAL &amp; FUTURE RATES'!$AF$10:$AG$81,2,FALSE))</f>
        <v>0</v>
      </c>
      <c r="AA23" s="7">
        <f t="shared" si="9"/>
        <v>32.183979510998881</v>
      </c>
      <c r="AB23" s="23">
        <f t="shared" si="49"/>
        <v>15319.574247235469</v>
      </c>
      <c r="AC23" s="9">
        <f t="shared" si="10"/>
        <v>-2214.941225217277</v>
      </c>
      <c r="AD23" s="24">
        <f t="shared" si="50"/>
        <v>-8126.4301824451595</v>
      </c>
      <c r="AF23" s="93">
        <f>IF(ISERROR(VLOOKUP(C23,'TABLES-ACTUAL &amp; FUTURE RATES'!$AH$10:$AI$81,2,FALSE)),0,VLOOKUP(C23,'TABLES-ACTUAL &amp; FUTURE RATES'!$AH$10:$AI$81,2,FALSE))</f>
        <v>5.7971014492753622E-4</v>
      </c>
      <c r="AG23" s="7">
        <f t="shared" si="11"/>
        <v>40.092624626811087</v>
      </c>
      <c r="AH23" s="23">
        <f t="shared" si="51"/>
        <v>15319.578347228364</v>
      </c>
      <c r="AI23" s="24">
        <f t="shared" si="12"/>
        <v>-2214.9371252243818</v>
      </c>
      <c r="AJ23" s="24">
        <f t="shared" si="52"/>
        <v>-8134.330627575182</v>
      </c>
      <c r="AL23" s="93">
        <f>IF(ISERROR(VLOOKUP(C23,'TABLES-ACTUAL &amp; FUTURE RATES'!$AJ$10:$AK$81,2,FALSE)),0,VLOOKUP(C23,'TABLES-ACTUAL &amp; FUTURE RATES'!$AJ$10:$AK$81,2,FALSE))</f>
        <v>5.7971014492753622E-4</v>
      </c>
      <c r="AM23" s="7">
        <f t="shared" si="13"/>
        <v>40.092624626811087</v>
      </c>
      <c r="AN23" s="23">
        <f t="shared" si="53"/>
        <v>15319.578347228364</v>
      </c>
      <c r="AO23" s="9">
        <f t="shared" si="14"/>
        <v>-2214.9371252243818</v>
      </c>
      <c r="AP23" s="24">
        <f t="shared" si="54"/>
        <v>-8134.330627575182</v>
      </c>
      <c r="AR23" s="32">
        <f>IF(ISERROR(VLOOKUP(C23,'TABLES-ACTUAL &amp; FUTURE RATES'!$AL$10:$AN$81,3,FALSE)),0,VLOOKUP(C23,'TABLES-ACTUAL &amp; FUTURE RATES'!$AL$10:$AN$81,3,FALSE))</f>
        <v>1</v>
      </c>
      <c r="AS23" s="93">
        <f>IF(ISERROR(VLOOKUP(C23,'TABLES-ACTUAL &amp; FUTURE RATES'!$AL$10:$AM$81,2,FALSE)),0,VLOOKUP(C23,'TABLES-ACTUAL &amp; FUTURE RATES'!$AL$10:$AM$81,2,FALSE))</f>
        <v>1.1594202898550724E-3</v>
      </c>
      <c r="AT23" s="7">
        <f t="shared" si="15"/>
        <v>48.042752023665003</v>
      </c>
      <c r="AU23" s="23">
        <f t="shared" si="55"/>
        <v>15335.433019748134</v>
      </c>
      <c r="AV23" s="9">
        <f t="shared" si="16"/>
        <v>-2199.0824527046116</v>
      </c>
      <c r="AW23" s="24">
        <f t="shared" si="56"/>
        <v>-8110.5714099324941</v>
      </c>
      <c r="AX23" s="225"/>
      <c r="AY23">
        <f t="shared" si="17"/>
        <v>67</v>
      </c>
      <c r="AZ23" s="9">
        <f t="shared" si="24"/>
        <v>15440.372337861292</v>
      </c>
      <c r="BA23" s="9">
        <f t="shared" si="25"/>
        <v>63.42455652080389</v>
      </c>
      <c r="BB23" s="9">
        <f t="shared" si="57"/>
        <v>91501.500243595045</v>
      </c>
      <c r="BC23" s="9">
        <f t="shared" si="26"/>
        <v>81.361643320444273</v>
      </c>
      <c r="BD23" s="9">
        <f t="shared" si="27"/>
        <v>15319.574247235469</v>
      </c>
      <c r="BE23" s="9">
        <f t="shared" si="28"/>
        <v>-57.373534105019644</v>
      </c>
      <c r="BF23" s="9">
        <f t="shared" si="58"/>
        <v>91260.157839844702</v>
      </c>
      <c r="BG23" s="9">
        <f t="shared" si="29"/>
        <v>-159.98076042989851</v>
      </c>
      <c r="BH23" s="9">
        <f t="shared" si="30"/>
        <v>15319.578347228364</v>
      </c>
      <c r="BI23" s="9">
        <f t="shared" si="31"/>
        <v>-57.369434112124509</v>
      </c>
      <c r="BJ23" s="9">
        <f t="shared" si="59"/>
        <v>91252.257394714688</v>
      </c>
      <c r="BK23" s="9">
        <f t="shared" si="32"/>
        <v>-167.8812055599119</v>
      </c>
      <c r="BL23" s="9">
        <f t="shared" si="33"/>
        <v>15319.578347228364</v>
      </c>
      <c r="BM23" s="9">
        <f t="shared" si="34"/>
        <v>-57.369434112124509</v>
      </c>
      <c r="BN23" s="9">
        <f t="shared" si="60"/>
        <v>91252.257394714688</v>
      </c>
      <c r="BO23" s="9">
        <f t="shared" si="35"/>
        <v>-167.8812055599119</v>
      </c>
      <c r="BP23" s="9">
        <f t="shared" si="36"/>
        <v>15335.433019748134</v>
      </c>
      <c r="BQ23" s="9">
        <f t="shared" si="37"/>
        <v>-41.514761592354262</v>
      </c>
      <c r="BR23" s="9">
        <f t="shared" si="61"/>
        <v>91276.016612357373</v>
      </c>
      <c r="BS23" s="9">
        <f t="shared" si="38"/>
        <v>-144.12198791722767</v>
      </c>
      <c r="BV23" s="310">
        <f t="shared" si="18"/>
        <v>343.81402887162244</v>
      </c>
      <c r="BW23" s="311">
        <f t="shared" si="19"/>
        <v>17534.515472452746</v>
      </c>
      <c r="BX23" s="315">
        <f t="shared" si="39"/>
        <v>0.1583</v>
      </c>
      <c r="BY23" s="9">
        <f t="shared" si="20"/>
        <v>2374.5</v>
      </c>
      <c r="BZ23" s="263">
        <f t="shared" si="21"/>
        <v>17374.5</v>
      </c>
      <c r="CA23" s="299"/>
    </row>
    <row r="24" spans="2:79" ht="17" thickBot="1">
      <c r="C24" s="262">
        <f t="shared" si="22"/>
        <v>2023</v>
      </c>
      <c r="D24" s="57">
        <f t="shared" si="23"/>
        <v>68</v>
      </c>
      <c r="E24" s="31">
        <f t="shared" si="40"/>
        <v>7</v>
      </c>
      <c r="F24" s="5">
        <f t="shared" si="41"/>
        <v>17534.515472452746</v>
      </c>
      <c r="G24" s="94">
        <f>IF(ISERROR(VLOOKUP(C24,'TABLES-ACTUAL &amp; FUTURE RATES'!$V$10:$X$81,2,FALSE)),0,VLOOKUP(C24,'TABLES-ACTUAL &amp; FUTURE RATES'!$V$10:$X$81,2,FALSE))</f>
        <v>0.02</v>
      </c>
      <c r="H24" s="5">
        <f t="shared" si="2"/>
        <v>350.69030944905489</v>
      </c>
      <c r="I24" s="5">
        <f t="shared" si="3"/>
        <v>17885.205781901801</v>
      </c>
      <c r="J24" s="257">
        <f t="shared" si="42"/>
        <v>0.89473684210526316</v>
      </c>
      <c r="K24" s="254">
        <f t="shared" si="43"/>
        <v>0.10526315789473684</v>
      </c>
      <c r="L24">
        <f t="shared" si="4"/>
        <v>2023</v>
      </c>
      <c r="M24" s="418">
        <f>IF(ISERROR(VLOOKUP(C24,'TABLES-ACTUAL &amp; FUTURE RATES'!$AB$10:$AC$81,2,FALSE)),0,VLOOKUP(C24,'TABLES-ACTUAL &amp; FUTURE RATES'!$AB$10:$AC$81,2,FALSE))</f>
        <v>1.1594202898550724E-3</v>
      </c>
      <c r="N24" s="7">
        <f t="shared" si="5"/>
        <v>48.324198977210386</v>
      </c>
      <c r="O24" s="8">
        <f t="shared" si="44"/>
        <v>15425.271980317699</v>
      </c>
      <c r="P24" s="8">
        <f t="shared" si="45"/>
        <v>106845.4105805923</v>
      </c>
      <c r="Q24" s="9">
        <f t="shared" si="6"/>
        <v>-2459.9338015841022</v>
      </c>
      <c r="R24" s="9">
        <f t="shared" si="46"/>
        <v>-10426.383223599369</v>
      </c>
      <c r="T24" s="93">
        <f>IF(ISERROR(VLOOKUP(C24,'TABLES-ACTUAL &amp; FUTURE RATES'!$AD$10:$AE$81,2,FALSE)),0,VLOOKUP(C24,'TABLES-ACTUAL &amp; FUTURE RATES'!$AD$10:$AE$81,2,FALSE))</f>
        <v>0</v>
      </c>
      <c r="U24" s="7">
        <f t="shared" si="7"/>
        <v>32.506047027076406</v>
      </c>
      <c r="V24" s="8">
        <f t="shared" si="47"/>
        <v>15472.878384888369</v>
      </c>
      <c r="W24" s="9">
        <f t="shared" si="8"/>
        <v>-2412.3273970134323</v>
      </c>
      <c r="X24" s="9">
        <f t="shared" si="48"/>
        <v>-10297.41517570826</v>
      </c>
      <c r="Z24" s="93">
        <f>IF(ISERROR(VLOOKUP(C24,'TABLES-ACTUAL &amp; FUTURE RATES'!$AF$10:$AG$81,2,FALSE)),0,VLOOKUP(C24,'TABLES-ACTUAL &amp; FUTURE RATES'!$AF$10:$AG$81,2,FALSE))</f>
        <v>1.1594202898550724E-3</v>
      </c>
      <c r="AA24" s="7">
        <f t="shared" si="9"/>
        <v>48.143894659504298</v>
      </c>
      <c r="AB24" s="8">
        <f t="shared" si="49"/>
        <v>15367.718141894973</v>
      </c>
      <c r="AC24" s="9">
        <f t="shared" si="10"/>
        <v>-2517.4876400068279</v>
      </c>
      <c r="AD24" s="9">
        <f t="shared" si="50"/>
        <v>-10643.917822451987</v>
      </c>
      <c r="AF24" s="93">
        <f>IF(ISERROR(VLOOKUP(C24,'TABLES-ACTUAL &amp; FUTURE RATES'!$AH$10:$AI$81,2,FALSE)),0,VLOOKUP(C24,'TABLES-ACTUAL &amp; FUTURE RATES'!$AH$10:$AI$81,2,FALSE))</f>
        <v>5.7971014492753622E-4</v>
      </c>
      <c r="AG24" s="7">
        <f t="shared" si="11"/>
        <v>40.19782571660226</v>
      </c>
      <c r="AH24" s="8">
        <f t="shared" si="51"/>
        <v>15359.776172944967</v>
      </c>
      <c r="AI24" s="24">
        <f t="shared" si="12"/>
        <v>-2525.4296089568343</v>
      </c>
      <c r="AJ24" s="9">
        <f t="shared" si="52"/>
        <v>-10659.760236532016</v>
      </c>
      <c r="AL24" s="93">
        <f>IF(ISERROR(VLOOKUP(C24,'TABLES-ACTUAL &amp; FUTURE RATES'!$AJ$10:$AK$81,2,FALSE)),0,VLOOKUP(C24,'TABLES-ACTUAL &amp; FUTURE RATES'!$AJ$10:$AK$81,2,FALSE))</f>
        <v>1.1594202898550724E-3</v>
      </c>
      <c r="AM24" s="7">
        <f t="shared" si="13"/>
        <v>48.143907544302706</v>
      </c>
      <c r="AN24" s="8">
        <f t="shared" si="53"/>
        <v>15367.722254772667</v>
      </c>
      <c r="AO24" s="9">
        <f t="shared" si="14"/>
        <v>-2517.483527129134</v>
      </c>
      <c r="AP24" s="9">
        <f t="shared" si="54"/>
        <v>-10651.814154704316</v>
      </c>
      <c r="AR24" s="32">
        <f>IF(ISERROR(VLOOKUP(C24,'TABLES-ACTUAL &amp; FUTURE RATES'!$AL$10:$AN$81,3,FALSE)),0,VLOOKUP(C24,'TABLES-ACTUAL &amp; FUTURE RATES'!$AL$10:$AN$81,3,FALSE))</f>
        <v>1</v>
      </c>
      <c r="AS24" s="93">
        <f>IF(ISERROR(VLOOKUP(C24,'TABLES-ACTUAL &amp; FUTURE RATES'!$AL$10:$AM$81,2,FALSE)),0,VLOOKUP(C24,'TABLES-ACTUAL &amp; FUTURE RATES'!$AL$10:$AM$81,2,FALSE))</f>
        <v>1.1594202898550724E-3</v>
      </c>
      <c r="AT24" s="7">
        <f t="shared" si="15"/>
        <v>48.193733059772931</v>
      </c>
      <c r="AU24" s="8">
        <f t="shared" si="55"/>
        <v>15383.626752807906</v>
      </c>
      <c r="AV24" s="9">
        <f t="shared" si="16"/>
        <v>-2501.5790290938949</v>
      </c>
      <c r="AW24" s="9">
        <f t="shared" si="56"/>
        <v>-10612.150439026389</v>
      </c>
      <c r="AX24" s="225"/>
      <c r="AY24">
        <f t="shared" si="17"/>
        <v>68</v>
      </c>
      <c r="AZ24" s="9">
        <f t="shared" si="24"/>
        <v>15472.878384888369</v>
      </c>
      <c r="BA24" s="9">
        <f t="shared" si="25"/>
        <v>47.606404570669838</v>
      </c>
      <c r="BB24" s="9">
        <f t="shared" si="57"/>
        <v>106974.37862848342</v>
      </c>
      <c r="BC24" s="9">
        <f t="shared" si="26"/>
        <v>128.96804789111775</v>
      </c>
      <c r="BD24" s="9">
        <f t="shared" si="27"/>
        <v>15367.718141894973</v>
      </c>
      <c r="BE24" s="9">
        <f t="shared" si="28"/>
        <v>-57.553838422725676</v>
      </c>
      <c r="BF24" s="9">
        <f t="shared" si="58"/>
        <v>106627.87598173968</v>
      </c>
      <c r="BG24" s="9">
        <f t="shared" si="29"/>
        <v>-217.53459885262419</v>
      </c>
      <c r="BH24" s="9">
        <f t="shared" si="30"/>
        <v>15359.776172944967</v>
      </c>
      <c r="BI24" s="9">
        <f t="shared" si="31"/>
        <v>-65.495807372732088</v>
      </c>
      <c r="BJ24" s="9">
        <f t="shared" si="59"/>
        <v>106612.03356765966</v>
      </c>
      <c r="BK24" s="9">
        <f t="shared" si="32"/>
        <v>-233.37701293264399</v>
      </c>
      <c r="BL24" s="9">
        <f t="shared" si="33"/>
        <v>15367.722254772667</v>
      </c>
      <c r="BM24" s="9">
        <f t="shared" si="34"/>
        <v>-57.549725545031833</v>
      </c>
      <c r="BN24" s="9">
        <f t="shared" si="60"/>
        <v>106619.97964948736</v>
      </c>
      <c r="BO24" s="9">
        <f t="shared" si="35"/>
        <v>-225.43093110494374</v>
      </c>
      <c r="BP24" s="9">
        <f t="shared" si="36"/>
        <v>15383.626752807906</v>
      </c>
      <c r="BQ24" s="9">
        <f t="shared" si="37"/>
        <v>-41.645227509792676</v>
      </c>
      <c r="BR24" s="9">
        <f t="shared" si="61"/>
        <v>106659.64336516528</v>
      </c>
      <c r="BS24" s="9">
        <f t="shared" si="38"/>
        <v>-185.7672154270258</v>
      </c>
      <c r="BV24" s="310">
        <f t="shared" si="18"/>
        <v>350.69030944905489</v>
      </c>
      <c r="BW24" s="311">
        <f t="shared" si="19"/>
        <v>17885.205781901801</v>
      </c>
      <c r="BX24" s="315">
        <f t="shared" si="39"/>
        <v>0.17829999999999999</v>
      </c>
      <c r="BY24" s="9">
        <f t="shared" si="20"/>
        <v>2674.5</v>
      </c>
      <c r="BZ24" s="263">
        <f t="shared" si="21"/>
        <v>17674.5</v>
      </c>
      <c r="CA24" s="299"/>
    </row>
    <row r="25" spans="2:79" ht="17" thickBot="1">
      <c r="C25" s="262">
        <f t="shared" si="22"/>
        <v>2024</v>
      </c>
      <c r="D25" s="57">
        <f t="shared" si="23"/>
        <v>69</v>
      </c>
      <c r="E25" s="31">
        <f t="shared" si="40"/>
        <v>8</v>
      </c>
      <c r="F25" s="5">
        <f t="shared" si="41"/>
        <v>17885.205781901801</v>
      </c>
      <c r="G25" s="94">
        <f>IF(ISERROR(VLOOKUP(C25,'TABLES-ACTUAL &amp; FUTURE RATES'!$V$10:$X$81,2,FALSE)),0,VLOOKUP(C25,'TABLES-ACTUAL &amp; FUTURE RATES'!$V$10:$X$81,2,FALSE))</f>
        <v>0.02</v>
      </c>
      <c r="H25" s="5">
        <f t="shared" si="2"/>
        <v>357.704115638036</v>
      </c>
      <c r="I25" s="5">
        <f t="shared" si="3"/>
        <v>18242.909897539837</v>
      </c>
      <c r="J25" s="257">
        <f t="shared" si="42"/>
        <v>0.89473684210526316</v>
      </c>
      <c r="K25" s="254">
        <f t="shared" si="43"/>
        <v>0.10526315789473684</v>
      </c>
      <c r="L25">
        <f t="shared" si="4"/>
        <v>2024</v>
      </c>
      <c r="M25" s="418">
        <f>IF(ISERROR(VLOOKUP(C25,'TABLES-ACTUAL &amp; FUTURE RATES'!$AB$10:$AC$81,2,FALSE)),0,VLOOKUP(C25,'TABLES-ACTUAL &amp; FUTURE RATES'!$AB$10:$AC$81,2,FALSE))</f>
        <v>1.1594202898550724E-3</v>
      </c>
      <c r="N25" s="7">
        <f t="shared" si="5"/>
        <v>48.476064499549139</v>
      </c>
      <c r="O25" s="8">
        <f t="shared" si="44"/>
        <v>15473.748044817248</v>
      </c>
      <c r="P25" s="8">
        <f t="shared" si="45"/>
        <v>122319.15862540955</v>
      </c>
      <c r="Q25" s="9">
        <f t="shared" si="6"/>
        <v>-2769.1618527225892</v>
      </c>
      <c r="R25" s="9">
        <f t="shared" si="46"/>
        <v>-13195.545076321958</v>
      </c>
      <c r="T25" s="93">
        <f>IF(ISERROR(VLOOKUP(C25,'TABLES-ACTUAL &amp; FUTURE RATES'!$AD$10:$AE$81,2,FALSE)),0,VLOOKUP(C25,'TABLES-ACTUAL &amp; FUTURE RATES'!$AD$10:$AE$81,2,FALSE))</f>
        <v>0</v>
      </c>
      <c r="U25" s="7">
        <f t="shared" si="7"/>
        <v>32.574480810291305</v>
      </c>
      <c r="V25" s="8">
        <f t="shared" si="47"/>
        <v>15505.45286569866</v>
      </c>
      <c r="W25" s="9">
        <f t="shared" si="8"/>
        <v>-2737.457031841177</v>
      </c>
      <c r="X25" s="9">
        <f t="shared" si="48"/>
        <v>-13034.872207549437</v>
      </c>
      <c r="Z25" s="93">
        <f>IF(ISERROR(VLOOKUP(C25,'TABLES-ACTUAL &amp; FUTURE RATES'!$AF$10:$AG$81,2,FALSE)),0,VLOOKUP(C25,'TABLES-ACTUAL &amp; FUTURE RATES'!$AF$10:$AG$81,2,FALSE))</f>
        <v>0</v>
      </c>
      <c r="AA25" s="7">
        <f t="shared" si="9"/>
        <v>32.353090825042045</v>
      </c>
      <c r="AB25" s="8">
        <f t="shared" si="49"/>
        <v>15400.071232720014</v>
      </c>
      <c r="AC25" s="9">
        <f t="shared" si="10"/>
        <v>-2842.838664819823</v>
      </c>
      <c r="AD25" s="9">
        <f t="shared" si="50"/>
        <v>-13486.75648727181</v>
      </c>
      <c r="AF25" s="93">
        <f>IF(ISERROR(VLOOKUP(C25,'TABLES-ACTUAL &amp; FUTURE RATES'!$AH$10:$AI$81,2,FALSE)),0,VLOOKUP(C25,'TABLES-ACTUAL &amp; FUTURE RATES'!$AH$10:$AI$81,2,FALSE))</f>
        <v>5.7971014492753622E-4</v>
      </c>
      <c r="AG25" s="7">
        <f t="shared" si="11"/>
        <v>40.303302848917383</v>
      </c>
      <c r="AH25" s="8">
        <f t="shared" si="51"/>
        <v>15400.079475793884</v>
      </c>
      <c r="AI25" s="24">
        <f t="shared" si="12"/>
        <v>-2842.8304217459536</v>
      </c>
      <c r="AJ25" s="9">
        <f t="shared" si="52"/>
        <v>-13502.59065827797</v>
      </c>
      <c r="AL25" s="93">
        <f>IF(ISERROR(VLOOKUP(C25,'TABLES-ACTUAL &amp; FUTURE RATES'!$AJ$10:$AK$81,2,FALSE)),0,VLOOKUP(C25,'TABLES-ACTUAL &amp; FUTURE RATES'!$AJ$10:$AK$81,2,FALSE))</f>
        <v>5.7971014492753622E-4</v>
      </c>
      <c r="AM25" s="7">
        <f t="shared" si="13"/>
        <v>40.324152979723856</v>
      </c>
      <c r="AN25" s="8">
        <f t="shared" si="53"/>
        <v>15408.04640775239</v>
      </c>
      <c r="AO25" s="9">
        <f t="shared" si="14"/>
        <v>-2834.8634897874472</v>
      </c>
      <c r="AP25" s="9">
        <f t="shared" si="54"/>
        <v>-13486.677644491763</v>
      </c>
      <c r="AR25" s="32">
        <f>IF(ISERROR(VLOOKUP(C25,'TABLES-ACTUAL &amp; FUTURE RATES'!$AL$10:$AN$81,3,FALSE)),0,VLOOKUP(C25,'TABLES-ACTUAL &amp; FUTURE RATES'!$AL$10:$AN$81,3,FALSE))</f>
        <v>1</v>
      </c>
      <c r="AS25" s="93">
        <f>IF(ISERROR(VLOOKUP(C25,'TABLES-ACTUAL &amp; FUTURE RATES'!$AL$10:$AM$81,2,FALSE)),0,VLOOKUP(C25,'TABLES-ACTUAL &amp; FUTURE RATES'!$AL$10:$AM$81,2,FALSE))</f>
        <v>1.1594202898550724E-3</v>
      </c>
      <c r="AT25" s="7">
        <f t="shared" si="15"/>
        <v>48.345188574804403</v>
      </c>
      <c r="AU25" s="8">
        <f t="shared" si="55"/>
        <v>15431.97194138271</v>
      </c>
      <c r="AV25" s="9">
        <f t="shared" si="16"/>
        <v>-2810.9379561571277</v>
      </c>
      <c r="AW25" s="9">
        <f t="shared" si="56"/>
        <v>-13423.088395183517</v>
      </c>
      <c r="AX25" s="225"/>
      <c r="AY25">
        <f t="shared" si="17"/>
        <v>69</v>
      </c>
      <c r="AZ25" s="9">
        <f t="shared" si="24"/>
        <v>15505.45286569866</v>
      </c>
      <c r="BA25" s="9">
        <f t="shared" si="25"/>
        <v>31.704820881412161</v>
      </c>
      <c r="BB25" s="9">
        <f t="shared" si="57"/>
        <v>122479.83149418209</v>
      </c>
      <c r="BC25" s="9">
        <f t="shared" si="26"/>
        <v>160.67286877254082</v>
      </c>
      <c r="BD25" s="9">
        <f t="shared" si="27"/>
        <v>15400.071232720014</v>
      </c>
      <c r="BE25" s="9">
        <f t="shared" si="28"/>
        <v>-73.676812097233778</v>
      </c>
      <c r="BF25" s="9">
        <f t="shared" si="58"/>
        <v>122027.94721445969</v>
      </c>
      <c r="BG25" s="9">
        <f t="shared" si="29"/>
        <v>-291.21141094985069</v>
      </c>
      <c r="BH25" s="9">
        <f t="shared" si="30"/>
        <v>15400.079475793884</v>
      </c>
      <c r="BI25" s="9">
        <f t="shared" si="31"/>
        <v>-73.668569023364398</v>
      </c>
      <c r="BJ25" s="9">
        <f t="shared" si="59"/>
        <v>122012.11304345354</v>
      </c>
      <c r="BK25" s="9">
        <f t="shared" si="32"/>
        <v>-307.04558195600112</v>
      </c>
      <c r="BL25" s="9">
        <f t="shared" si="33"/>
        <v>15408.04640775239</v>
      </c>
      <c r="BM25" s="9">
        <f t="shared" si="34"/>
        <v>-65.701637064858005</v>
      </c>
      <c r="BN25" s="9">
        <f t="shared" si="60"/>
        <v>122028.02605723975</v>
      </c>
      <c r="BO25" s="9">
        <f t="shared" si="35"/>
        <v>-291.13256816979265</v>
      </c>
      <c r="BP25" s="9">
        <f t="shared" si="36"/>
        <v>15431.97194138271</v>
      </c>
      <c r="BQ25" s="9">
        <f t="shared" si="37"/>
        <v>-41.776103434538527</v>
      </c>
      <c r="BR25" s="9">
        <f t="shared" si="61"/>
        <v>122091.61530654799</v>
      </c>
      <c r="BS25" s="9">
        <f t="shared" si="38"/>
        <v>-227.54331886155705</v>
      </c>
      <c r="BV25" s="310">
        <f t="shared" si="18"/>
        <v>357.704115638036</v>
      </c>
      <c r="BW25" s="311">
        <f t="shared" si="19"/>
        <v>18242.909897539837</v>
      </c>
      <c r="BX25" s="315">
        <f t="shared" si="39"/>
        <v>0.19829999999999998</v>
      </c>
      <c r="BY25" s="9">
        <f t="shared" si="20"/>
        <v>2974.4999999999995</v>
      </c>
      <c r="BZ25" s="263">
        <f t="shared" si="21"/>
        <v>17974.5</v>
      </c>
      <c r="CA25" s="299"/>
    </row>
    <row r="26" spans="2:79" ht="17" thickBot="1">
      <c r="C26" s="262">
        <f t="shared" si="22"/>
        <v>2025</v>
      </c>
      <c r="D26" s="57">
        <f t="shared" si="23"/>
        <v>70</v>
      </c>
      <c r="E26" s="49">
        <f t="shared" si="40"/>
        <v>9</v>
      </c>
      <c r="F26" s="46">
        <f t="shared" si="41"/>
        <v>18242.909897539837</v>
      </c>
      <c r="G26" s="94">
        <f>IF(ISERROR(VLOOKUP(C26,'TABLES-ACTUAL &amp; FUTURE RATES'!$V$10:$X$81,2,FALSE)),0,VLOOKUP(C26,'TABLES-ACTUAL &amp; FUTURE RATES'!$V$10:$X$81,2,FALSE))</f>
        <v>0.02</v>
      </c>
      <c r="H26" s="5">
        <f t="shared" si="2"/>
        <v>364.85819795079675</v>
      </c>
      <c r="I26" s="5">
        <f t="shared" si="3"/>
        <v>18607.768095490635</v>
      </c>
      <c r="J26" s="257">
        <f t="shared" si="42"/>
        <v>0.89473684210526316</v>
      </c>
      <c r="K26" s="254">
        <f t="shared" si="43"/>
        <v>0.10526315789473684</v>
      </c>
      <c r="L26">
        <f t="shared" si="4"/>
        <v>2025</v>
      </c>
      <c r="M26" s="418">
        <f>IF(ISERROR(VLOOKUP(C26,'TABLES-ACTUAL &amp; FUTURE RATES'!$AB$10:$AC$81,2,FALSE)),0,VLOOKUP(C26,'TABLES-ACTUAL &amp; FUTURE RATES'!$AB$10:$AC$81,2,FALSE))</f>
        <v>1.1594202898550724E-3</v>
      </c>
      <c r="N26" s="7">
        <f t="shared" si="5"/>
        <v>48.62840728043254</v>
      </c>
      <c r="O26" s="47">
        <f t="shared" si="44"/>
        <v>15522.37645209768</v>
      </c>
      <c r="P26" s="8">
        <f t="shared" si="45"/>
        <v>137841.53507750723</v>
      </c>
      <c r="Q26" s="9">
        <f t="shared" si="6"/>
        <v>-3085.3916433929553</v>
      </c>
      <c r="R26" s="48">
        <f t="shared" si="46"/>
        <v>-16280.936719714913</v>
      </c>
      <c r="T26" s="93">
        <f>IF(ISERROR(VLOOKUP(C26,'TABLES-ACTUAL &amp; FUTURE RATES'!$AD$10:$AE$81,2,FALSE)),0,VLOOKUP(C26,'TABLES-ACTUAL &amp; FUTURE RATES'!$AD$10:$AE$81,2,FALSE))</f>
        <v>0</v>
      </c>
      <c r="U26" s="7">
        <f t="shared" si="7"/>
        <v>32.643058664628754</v>
      </c>
      <c r="V26" s="47">
        <f t="shared" si="47"/>
        <v>15538.09592436329</v>
      </c>
      <c r="W26" s="9">
        <f t="shared" si="8"/>
        <v>-3069.6721711273458</v>
      </c>
      <c r="X26" s="48">
        <f t="shared" si="48"/>
        <v>-16104.544378676783</v>
      </c>
      <c r="Z26" s="93">
        <f>IF(ISERROR(VLOOKUP(C26,'TABLES-ACTUAL &amp; FUTURE RATES'!$AF$10:$AG$81,2,FALSE)),0,VLOOKUP(C26,'TABLES-ACTUAL &amp; FUTURE RATES'!$AF$10:$AG$81,2,FALSE))</f>
        <v>1.1594202898550724E-3</v>
      </c>
      <c r="AA26" s="7">
        <f t="shared" si="9"/>
        <v>48.396867642110188</v>
      </c>
      <c r="AB26" s="47">
        <f t="shared" si="49"/>
        <v>15448.468100362124</v>
      </c>
      <c r="AC26" s="9">
        <f t="shared" si="10"/>
        <v>-3159.299995128511</v>
      </c>
      <c r="AD26" s="48">
        <f t="shared" si="50"/>
        <v>-16646.056482400323</v>
      </c>
      <c r="AF26" s="93">
        <f>IF(ISERROR(VLOOKUP(C26,'TABLES-ACTUAL &amp; FUTURE RATES'!$AH$10:$AI$81,2,FALSE)),0,VLOOKUP(C26,'TABLES-ACTUAL &amp; FUTURE RATES'!$AH$10:$AI$81,2,FALSE))</f>
        <v>5.7971014492753622E-4</v>
      </c>
      <c r="AG26" s="7">
        <f t="shared" si="11"/>
        <v>40.409056748078534</v>
      </c>
      <c r="AH26" s="47">
        <f t="shared" si="51"/>
        <v>15440.488532541962</v>
      </c>
      <c r="AI26" s="24">
        <f t="shared" si="12"/>
        <v>-3167.2795629486736</v>
      </c>
      <c r="AJ26" s="48">
        <f t="shared" si="52"/>
        <v>-16669.870221226643</v>
      </c>
      <c r="AL26" s="93">
        <f>IF(ISERROR(VLOOKUP(C26,'TABLES-ACTUAL &amp; FUTURE RATES'!$AJ$10:$AK$81,2,FALSE)),0,VLOOKUP(C26,'TABLES-ACTUAL &amp; FUTURE RATES'!$AJ$10:$AK$81,2,FALSE))</f>
        <v>5.7971014492753622E-4</v>
      </c>
      <c r="AM26" s="7">
        <f t="shared" si="13"/>
        <v>40.429961588610389</v>
      </c>
      <c r="AN26" s="47">
        <f t="shared" si="53"/>
        <v>15448.476369341</v>
      </c>
      <c r="AO26" s="9">
        <f t="shared" si="14"/>
        <v>-3159.291726149635</v>
      </c>
      <c r="AP26" s="48">
        <f t="shared" si="54"/>
        <v>-16645.969370641396</v>
      </c>
      <c r="AR26" s="32">
        <f>IF(ISERROR(VLOOKUP(C26,'TABLES-ACTUAL &amp; FUTURE RATES'!$AL$10:$AN$81,3,FALSE)),0,VLOOKUP(C26,'TABLES-ACTUAL &amp; FUTURE RATES'!$AL$10:$AN$81,3,FALSE))</f>
        <v>1</v>
      </c>
      <c r="AS26" s="93">
        <f>IF(ISERROR(VLOOKUP(C26,'TABLES-ACTUAL &amp; FUTURE RATES'!$AL$10:$AM$81,2,FALSE)),0,VLOOKUP(C26,'TABLES-ACTUAL &amp; FUTURE RATES'!$AL$10:$AM$81,2,FALSE))</f>
        <v>1.1594202898550724E-3</v>
      </c>
      <c r="AT26" s="7">
        <f t="shared" si="15"/>
        <v>48.497120059875485</v>
      </c>
      <c r="AU26" s="47">
        <f t="shared" si="55"/>
        <v>15480.469061442585</v>
      </c>
      <c r="AV26" s="9">
        <f t="shared" si="16"/>
        <v>-3127.2990340480501</v>
      </c>
      <c r="AW26" s="48">
        <f t="shared" si="56"/>
        <v>-16550.387429231567</v>
      </c>
      <c r="AX26" s="225"/>
      <c r="AY26">
        <f t="shared" si="17"/>
        <v>70</v>
      </c>
      <c r="AZ26" s="9">
        <f t="shared" si="24"/>
        <v>15538.09592436329</v>
      </c>
      <c r="BA26" s="9">
        <f t="shared" si="25"/>
        <v>15.719472265609511</v>
      </c>
      <c r="BB26" s="9">
        <f t="shared" si="57"/>
        <v>138017.92741854538</v>
      </c>
      <c r="BC26" s="9">
        <f t="shared" si="26"/>
        <v>176.39234103815397</v>
      </c>
      <c r="BD26" s="9">
        <f t="shared" si="27"/>
        <v>15448.468100362124</v>
      </c>
      <c r="BE26" s="9">
        <f t="shared" si="28"/>
        <v>-73.908351735555698</v>
      </c>
      <c r="BF26" s="9">
        <f t="shared" si="58"/>
        <v>137476.41531482182</v>
      </c>
      <c r="BG26" s="9">
        <f t="shared" si="29"/>
        <v>-365.11976268541184</v>
      </c>
      <c r="BH26" s="9">
        <f t="shared" si="30"/>
        <v>15440.488532541962</v>
      </c>
      <c r="BI26" s="9">
        <f t="shared" si="31"/>
        <v>-81.887919555718327</v>
      </c>
      <c r="BJ26" s="9">
        <f t="shared" si="59"/>
        <v>137452.6015759955</v>
      </c>
      <c r="BK26" s="9">
        <f t="shared" si="32"/>
        <v>-388.9335015117249</v>
      </c>
      <c r="BL26" s="9">
        <f t="shared" si="33"/>
        <v>15448.476369341</v>
      </c>
      <c r="BM26" s="9">
        <f t="shared" si="34"/>
        <v>-73.900082756679694</v>
      </c>
      <c r="BN26" s="9">
        <f t="shared" si="60"/>
        <v>137476.50242658076</v>
      </c>
      <c r="BO26" s="9">
        <f t="shared" si="35"/>
        <v>-365.03265092647052</v>
      </c>
      <c r="BP26" s="9">
        <f t="shared" si="36"/>
        <v>15480.469061442585</v>
      </c>
      <c r="BQ26" s="9">
        <f t="shared" si="37"/>
        <v>-41.907390655094787</v>
      </c>
      <c r="BR26" s="9">
        <f t="shared" si="61"/>
        <v>137572.08436799058</v>
      </c>
      <c r="BS26" s="9">
        <f t="shared" si="38"/>
        <v>-269.4507095166482</v>
      </c>
      <c r="BV26" s="310">
        <f t="shared" si="18"/>
        <v>364.85819795079675</v>
      </c>
      <c r="BW26" s="311">
        <f t="shared" si="19"/>
        <v>18607.768095490635</v>
      </c>
      <c r="BX26" s="315">
        <f t="shared" si="39"/>
        <v>0.21829999999999997</v>
      </c>
      <c r="BY26" s="9">
        <f t="shared" si="20"/>
        <v>3274.4999999999995</v>
      </c>
      <c r="BZ26" s="263">
        <f t="shared" si="21"/>
        <v>18274.5</v>
      </c>
      <c r="CA26" s="299"/>
    </row>
    <row r="27" spans="2:79" ht="17" thickBot="1">
      <c r="C27" s="262">
        <f t="shared" si="22"/>
        <v>2026</v>
      </c>
      <c r="D27" s="57">
        <f t="shared" si="23"/>
        <v>71</v>
      </c>
      <c r="E27" s="62">
        <f t="shared" si="40"/>
        <v>10</v>
      </c>
      <c r="F27" s="50">
        <f t="shared" si="41"/>
        <v>18607.768095490635</v>
      </c>
      <c r="G27" s="94">
        <f>IF(ISERROR(VLOOKUP(C27,'TABLES-ACTUAL &amp; FUTURE RATES'!$V$10:$X$81,2,FALSE)),0,VLOOKUP(C27,'TABLES-ACTUAL &amp; FUTURE RATES'!$V$10:$X$81,2,FALSE))</f>
        <v>0.02</v>
      </c>
      <c r="H27" s="5">
        <f t="shared" si="2"/>
        <v>372.15536190981271</v>
      </c>
      <c r="I27" s="5">
        <f t="shared" si="3"/>
        <v>18979.923457400448</v>
      </c>
      <c r="J27" s="257">
        <f t="shared" si="42"/>
        <v>0.89473684210526316</v>
      </c>
      <c r="K27" s="254">
        <f t="shared" si="43"/>
        <v>0.10526315789473684</v>
      </c>
      <c r="L27">
        <f t="shared" si="4"/>
        <v>2026</v>
      </c>
      <c r="M27" s="418">
        <f>IF(ISERROR(VLOOKUP(C27,'TABLES-ACTUAL &amp; FUTURE RATES'!$AB$10:$AC$81,2,FALSE)),0,VLOOKUP(C27,'TABLES-ACTUAL &amp; FUTURE RATES'!$AB$10:$AC$81,2,FALSE))</f>
        <v>1.1594202898550724E-3</v>
      </c>
      <c r="N27" s="7">
        <f t="shared" si="5"/>
        <v>48.781228819712005</v>
      </c>
      <c r="O27" s="52">
        <f t="shared" si="44"/>
        <v>15571.157680917393</v>
      </c>
      <c r="P27" s="8">
        <f t="shared" si="45"/>
        <v>153412.69275842462</v>
      </c>
      <c r="Q27" s="9">
        <f t="shared" si="6"/>
        <v>-3408.7657764830547</v>
      </c>
      <c r="R27" s="53">
        <f t="shared" si="46"/>
        <v>-19689.70249619797</v>
      </c>
      <c r="S27" s="51"/>
      <c r="T27" s="93">
        <f>IF(ISERROR(VLOOKUP(C27,'TABLES-ACTUAL &amp; FUTURE RATES'!$AD$10:$AE$81,2,FALSE)),0,VLOOKUP(C27,'TABLES-ACTUAL &amp; FUTURE RATES'!$AD$10:$AE$81,2,FALSE))</f>
        <v>0</v>
      </c>
      <c r="U27" s="7">
        <f t="shared" si="7"/>
        <v>32.711780893396401</v>
      </c>
      <c r="V27" s="52">
        <f t="shared" si="47"/>
        <v>15570.807705256686</v>
      </c>
      <c r="W27" s="9">
        <f t="shared" si="8"/>
        <v>-3409.1157521437617</v>
      </c>
      <c r="X27" s="53">
        <f t="shared" si="48"/>
        <v>-19513.660130820543</v>
      </c>
      <c r="Y27" s="51"/>
      <c r="Z27" s="93">
        <f>IF(ISERROR(VLOOKUP(C27,'TABLES-ACTUAL &amp; FUTURE RATES'!$AF$10:$AG$81,2,FALSE)),0,VLOOKUP(C27,'TABLES-ACTUAL &amp; FUTURE RATES'!$AF$10:$AG$81,2,FALSE))</f>
        <v>0</v>
      </c>
      <c r="AA27" s="7">
        <f t="shared" si="9"/>
        <v>32.52309073760447</v>
      </c>
      <c r="AB27" s="52">
        <f t="shared" si="49"/>
        <v>15480.991191099729</v>
      </c>
      <c r="AC27" s="9">
        <f t="shared" si="10"/>
        <v>-3498.9322663007188</v>
      </c>
      <c r="AD27" s="53">
        <f t="shared" si="50"/>
        <v>-20144.988748701042</v>
      </c>
      <c r="AE27" s="51"/>
      <c r="AF27" s="93">
        <f>IF(ISERROR(VLOOKUP(C27,'TABLES-ACTUAL &amp; FUTURE RATES'!$AH$10:$AI$81,2,FALSE)),0,VLOOKUP(C27,'TABLES-ACTUAL &amp; FUTURE RATES'!$AH$10:$AI$81,2,FALSE))</f>
        <v>5.7971014492753622E-4</v>
      </c>
      <c r="AG27" s="7">
        <f t="shared" si="11"/>
        <v>40.515088140308428</v>
      </c>
      <c r="AH27" s="52">
        <f t="shared" si="51"/>
        <v>15481.00362068227</v>
      </c>
      <c r="AI27" s="24">
        <f t="shared" si="12"/>
        <v>-3498.919836718178</v>
      </c>
      <c r="AJ27" s="53">
        <f t="shared" si="52"/>
        <v>-20168.790057944821</v>
      </c>
      <c r="AK27" s="51"/>
      <c r="AL27" s="93">
        <f>IF(ISERROR(VLOOKUP(C27,'TABLES-ACTUAL &amp; FUTURE RATES'!$AJ$10:$AK$81,2,FALSE)),0,VLOOKUP(C27,'TABLES-ACTUAL &amp; FUTURE RATES'!$AJ$10:$AK$81,2,FALSE))</f>
        <v>1.1594202898550724E-3</v>
      </c>
      <c r="AM27" s="7">
        <f t="shared" si="13"/>
        <v>48.548987522261569</v>
      </c>
      <c r="AN27" s="52">
        <f t="shared" si="53"/>
        <v>15497.025356863262</v>
      </c>
      <c r="AO27" s="9">
        <f t="shared" si="14"/>
        <v>-3482.8981005371861</v>
      </c>
      <c r="AP27" s="53">
        <f t="shared" si="54"/>
        <v>-20128.867471178582</v>
      </c>
      <c r="AQ27" s="51"/>
      <c r="AR27" s="32">
        <f>IF(ISERROR(VLOOKUP(C27,'TABLES-ACTUAL &amp; FUTURE RATES'!$AL$10:$AN$81,3,FALSE)),0,VLOOKUP(C27,'TABLES-ACTUAL &amp; FUTURE RATES'!$AL$10:$AN$81,3,FALSE))</f>
        <v>0.75</v>
      </c>
      <c r="AS27" s="93">
        <f>IF(ISERROR(VLOOKUP(C27,'TABLES-ACTUAL &amp; FUTURE RATES'!$AL$10:$AM$81,2,FALSE)),0,VLOOKUP(C27,'TABLES-ACTUAL &amp; FUTURE RATES'!$AL$10:$AM$81,2,FALSE))</f>
        <v>8.6956521739130427E-4</v>
      </c>
      <c r="AT27" s="7">
        <f t="shared" si="15"/>
        <v>44.634762053587316</v>
      </c>
      <c r="AU27" s="52">
        <f t="shared" si="55"/>
        <v>15525.103823496172</v>
      </c>
      <c r="AV27" s="9">
        <f t="shared" si="16"/>
        <v>-3454.8196339042752</v>
      </c>
      <c r="AW27" s="54">
        <f t="shared" si="56"/>
        <v>-20005.207063135844</v>
      </c>
      <c r="AX27" s="225"/>
      <c r="AY27">
        <f t="shared" si="17"/>
        <v>71</v>
      </c>
      <c r="AZ27" s="9">
        <f t="shared" si="24"/>
        <v>15570.807705256686</v>
      </c>
      <c r="BA27" s="9">
        <f t="shared" si="25"/>
        <v>-0.34997566070705943</v>
      </c>
      <c r="BB27" s="9">
        <f t="shared" si="57"/>
        <v>153588.73512380206</v>
      </c>
      <c r="BC27" s="9">
        <f t="shared" si="26"/>
        <v>176.04236537744873</v>
      </c>
      <c r="BD27" s="9">
        <f t="shared" si="27"/>
        <v>15480.991191099729</v>
      </c>
      <c r="BE27" s="9">
        <f t="shared" si="28"/>
        <v>-90.166489817664115</v>
      </c>
      <c r="BF27" s="9">
        <f t="shared" si="58"/>
        <v>152957.40650592154</v>
      </c>
      <c r="BG27" s="9">
        <f t="shared" si="29"/>
        <v>-455.2862525030796</v>
      </c>
      <c r="BH27" s="9">
        <f t="shared" si="30"/>
        <v>15481.00362068227</v>
      </c>
      <c r="BI27" s="9">
        <f t="shared" si="31"/>
        <v>-90.154060235123325</v>
      </c>
      <c r="BJ27" s="9">
        <f t="shared" si="59"/>
        <v>152933.60519667779</v>
      </c>
      <c r="BK27" s="9">
        <f t="shared" si="32"/>
        <v>-479.0875617468264</v>
      </c>
      <c r="BL27" s="9">
        <f t="shared" si="33"/>
        <v>15497.025356863262</v>
      </c>
      <c r="BM27" s="9">
        <f t="shared" si="34"/>
        <v>-74.132324054131459</v>
      </c>
      <c r="BN27" s="9">
        <f t="shared" si="60"/>
        <v>152973.52778344403</v>
      </c>
      <c r="BO27" s="9">
        <f t="shared" si="35"/>
        <v>-439.16497498058015</v>
      </c>
      <c r="BP27" s="9">
        <f t="shared" si="36"/>
        <v>15525.103823496172</v>
      </c>
      <c r="BQ27" s="9">
        <f t="shared" si="37"/>
        <v>-46.053857421220528</v>
      </c>
      <c r="BR27" s="9">
        <f t="shared" si="61"/>
        <v>153097.18819148676</v>
      </c>
      <c r="BS27" s="9">
        <f t="shared" si="38"/>
        <v>-315.50456693785964</v>
      </c>
      <c r="BV27" s="310">
        <f t="shared" si="18"/>
        <v>372.15536190981271</v>
      </c>
      <c r="BW27" s="311">
        <f t="shared" si="19"/>
        <v>18979.923457400448</v>
      </c>
      <c r="BX27" s="315">
        <f t="shared" si="39"/>
        <v>0.23829999999999996</v>
      </c>
      <c r="BY27" s="9">
        <f t="shared" si="20"/>
        <v>3574.4999999999995</v>
      </c>
      <c r="BZ27" s="263">
        <f t="shared" si="21"/>
        <v>18574.5</v>
      </c>
      <c r="CA27" s="299"/>
    </row>
    <row r="28" spans="2:79" ht="17" thickBot="1">
      <c r="C28" s="262">
        <f t="shared" si="22"/>
        <v>2027</v>
      </c>
      <c r="D28" s="57">
        <f t="shared" si="23"/>
        <v>72</v>
      </c>
      <c r="E28" s="63">
        <f t="shared" si="40"/>
        <v>11</v>
      </c>
      <c r="F28" s="10">
        <f t="shared" si="41"/>
        <v>18979.923457400448</v>
      </c>
      <c r="G28" s="94">
        <f>IF(ISERROR(VLOOKUP(C28,'TABLES-ACTUAL &amp; FUTURE RATES'!$V$10:$X$81,2,FALSE)),0,VLOOKUP(C28,'TABLES-ACTUAL &amp; FUTURE RATES'!$V$10:$X$81,2,FALSE))</f>
        <v>0.02</v>
      </c>
      <c r="H28" s="5">
        <f t="shared" si="2"/>
        <v>379.59846914800897</v>
      </c>
      <c r="I28" s="5">
        <f t="shared" si="3"/>
        <v>19359.521926548456</v>
      </c>
      <c r="J28" s="257">
        <f t="shared" si="42"/>
        <v>0.89473684210526316</v>
      </c>
      <c r="K28" s="254">
        <f t="shared" si="43"/>
        <v>0.10526315789473684</v>
      </c>
      <c r="L28">
        <f t="shared" si="4"/>
        <v>2027</v>
      </c>
      <c r="M28" s="418">
        <f>IF(ISERROR(VLOOKUP(C28,'TABLES-ACTUAL &amp; FUTURE RATES'!$AB$10:$AC$81,2,FALSE)),0,VLOOKUP(C28,'TABLES-ACTUAL &amp; FUTURE RATES'!$AB$10:$AC$81,2,FALSE))</f>
        <v>1.1594202898550724E-3</v>
      </c>
      <c r="N28" s="7">
        <f t="shared" si="5"/>
        <v>48.934530621952447</v>
      </c>
      <c r="O28" s="23">
        <f t="shared" si="44"/>
        <v>15620.092211539346</v>
      </c>
      <c r="P28" s="8">
        <f t="shared" si="45"/>
        <v>169032.78496996395</v>
      </c>
      <c r="Q28" s="9">
        <f t="shared" si="6"/>
        <v>-3739.4297150091097</v>
      </c>
      <c r="R28" s="24">
        <f t="shared" si="46"/>
        <v>-23429.132211207077</v>
      </c>
      <c r="T28" s="93">
        <f>IF(ISERROR(VLOOKUP(C28,'TABLES-ACTUAL &amp; FUTURE RATES'!$AD$10:$AE$81,2,FALSE)),0,VLOOKUP(C28,'TABLES-ACTUAL &amp; FUTURE RATES'!$AD$10:$AE$81,2,FALSE))</f>
        <v>0</v>
      </c>
      <c r="U28" s="7">
        <f t="shared" si="7"/>
        <v>32.780647800540393</v>
      </c>
      <c r="V28" s="23">
        <f t="shared" si="47"/>
        <v>15603.588353057226</v>
      </c>
      <c r="W28" s="9">
        <f t="shared" si="8"/>
        <v>-3755.9335734912293</v>
      </c>
      <c r="X28" s="24">
        <f t="shared" si="48"/>
        <v>-23269.593704311774</v>
      </c>
      <c r="Z28" s="93">
        <f>IF(ISERROR(VLOOKUP(C28,'TABLES-ACTUAL &amp; FUTURE RATES'!$AF$10:$AG$81,2,FALSE)),0,VLOOKUP(C28,'TABLES-ACTUAL &amp; FUTURE RATES'!$AF$10:$AG$81,2,FALSE))</f>
        <v>1.1594202898550724E-3</v>
      </c>
      <c r="AA28" s="7">
        <f t="shared" si="9"/>
        <v>48.65116987591982</v>
      </c>
      <c r="AB28" s="23">
        <f t="shared" si="49"/>
        <v>15529.642360975649</v>
      </c>
      <c r="AC28" s="9">
        <f t="shared" si="10"/>
        <v>-3829.8795655728063</v>
      </c>
      <c r="AD28" s="24">
        <f t="shared" si="50"/>
        <v>-23974.868314273848</v>
      </c>
      <c r="AF28" s="93">
        <f>IF(ISERROR(VLOOKUP(C28,'TABLES-ACTUAL &amp; FUTURE RATES'!$AH$10:$AI$81,2,FALSE)),0,VLOOKUP(C28,'TABLES-ACTUAL &amp; FUTURE RATES'!$AH$10:$AI$81,2,FALSE))</f>
        <v>5.7971014492753622E-4</v>
      </c>
      <c r="AG28" s="7">
        <f t="shared" si="11"/>
        <v>40.621397753735323</v>
      </c>
      <c r="AH28" s="23">
        <f t="shared" si="51"/>
        <v>15521.625018436005</v>
      </c>
      <c r="AI28" s="24">
        <f t="shared" si="12"/>
        <v>-3837.8969081124505</v>
      </c>
      <c r="AJ28" s="24">
        <f t="shared" si="52"/>
        <v>-24006.68696605727</v>
      </c>
      <c r="AL28" s="93">
        <f>IF(ISERROR(VLOOKUP(C28,'TABLES-ACTUAL &amp; FUTURE RATES'!$AJ$10:$AK$81,2,FALSE)),0,VLOOKUP(C28,'TABLES-ACTUAL &amp; FUTURE RATES'!$AJ$10:$AK$81,2,FALSE))</f>
        <v>5.7971014492753622E-4</v>
      </c>
      <c r="AM28" s="7">
        <f t="shared" si="13"/>
        <v>40.663438007329994</v>
      </c>
      <c r="AN28" s="23">
        <f t="shared" si="53"/>
        <v>15537.688794870592</v>
      </c>
      <c r="AO28" s="9">
        <f t="shared" si="14"/>
        <v>-3821.833131677864</v>
      </c>
      <c r="AP28" s="24">
        <f t="shared" si="54"/>
        <v>-23950.700602856446</v>
      </c>
      <c r="AR28" s="32">
        <f>IF(ISERROR(VLOOKUP(C28,'TABLES-ACTUAL &amp; FUTURE RATES'!$AL$10:$AN$81,3,FALSE)),0,VLOOKUP(C28,'TABLES-ACTUAL &amp; FUTURE RATES'!$AL$10:$AN$81,3,FALSE))</f>
        <v>0.75</v>
      </c>
      <c r="AS28" s="93">
        <f>IF(ISERROR(VLOOKUP(C28,'TABLES-ACTUAL &amp; FUTURE RATES'!$AL$10:$AM$81,2,FALSE)),0,VLOOKUP(C28,'TABLES-ACTUAL &amp; FUTURE RATES'!$AL$10:$AM$81,2,FALSE))</f>
        <v>8.6956521739130427E-4</v>
      </c>
      <c r="AT28" s="7">
        <f t="shared" si="15"/>
        <v>44.763457248524432</v>
      </c>
      <c r="AU28" s="23">
        <f t="shared" si="55"/>
        <v>15569.867280744696</v>
      </c>
      <c r="AV28" s="9">
        <f t="shared" si="16"/>
        <v>-3789.6546458037592</v>
      </c>
      <c r="AW28" s="24">
        <f t="shared" si="56"/>
        <v>-23794.861708939603</v>
      </c>
      <c r="AX28" s="225"/>
      <c r="AY28">
        <f t="shared" si="17"/>
        <v>72</v>
      </c>
      <c r="AZ28" s="9">
        <f t="shared" si="24"/>
        <v>15603.588353057226</v>
      </c>
      <c r="BA28" s="9">
        <f t="shared" si="25"/>
        <v>-16.50385848211954</v>
      </c>
      <c r="BB28" s="9">
        <f t="shared" si="57"/>
        <v>169192.32347685928</v>
      </c>
      <c r="BC28" s="9">
        <f t="shared" si="26"/>
        <v>159.53850689533283</v>
      </c>
      <c r="BD28" s="9">
        <f t="shared" si="27"/>
        <v>15529.642360975649</v>
      </c>
      <c r="BE28" s="9">
        <f t="shared" si="28"/>
        <v>-90.4498505636966</v>
      </c>
      <c r="BF28" s="9">
        <f t="shared" si="58"/>
        <v>168487.04886689718</v>
      </c>
      <c r="BG28" s="9">
        <f t="shared" si="29"/>
        <v>-545.7361030667671</v>
      </c>
      <c r="BH28" s="9">
        <f t="shared" si="30"/>
        <v>15521.625018436005</v>
      </c>
      <c r="BI28" s="9">
        <f t="shared" si="31"/>
        <v>-98.467193103340833</v>
      </c>
      <c r="BJ28" s="9">
        <f t="shared" si="59"/>
        <v>168455.23021511378</v>
      </c>
      <c r="BK28" s="9">
        <f t="shared" si="32"/>
        <v>-577.55475485016359</v>
      </c>
      <c r="BL28" s="9">
        <f t="shared" si="33"/>
        <v>15537.688794870592</v>
      </c>
      <c r="BM28" s="9">
        <f t="shared" si="34"/>
        <v>-82.403416668754289</v>
      </c>
      <c r="BN28" s="9">
        <f t="shared" si="60"/>
        <v>168511.21657831463</v>
      </c>
      <c r="BO28" s="9">
        <f t="shared" si="35"/>
        <v>-521.56839164931444</v>
      </c>
      <c r="BP28" s="9">
        <f t="shared" si="36"/>
        <v>15569.867280744696</v>
      </c>
      <c r="BQ28" s="9">
        <f t="shared" si="37"/>
        <v>-50.224930794649481</v>
      </c>
      <c r="BR28" s="9">
        <f t="shared" si="61"/>
        <v>168667.05547223144</v>
      </c>
      <c r="BS28" s="9">
        <f t="shared" si="38"/>
        <v>-365.7294977325073</v>
      </c>
      <c r="BV28" s="310">
        <f t="shared" si="18"/>
        <v>379.59846914800897</v>
      </c>
      <c r="BW28" s="311">
        <f t="shared" si="19"/>
        <v>19359.521926548456</v>
      </c>
      <c r="BX28" s="315">
        <f t="shared" si="39"/>
        <v>0.25829999999999997</v>
      </c>
      <c r="BY28" s="9">
        <f t="shared" si="20"/>
        <v>3874.4999999999995</v>
      </c>
      <c r="BZ28" s="263">
        <f t="shared" si="21"/>
        <v>18874.5</v>
      </c>
      <c r="CA28" s="299"/>
    </row>
    <row r="29" spans="2:79" ht="17" thickBot="1">
      <c r="C29" s="262">
        <f t="shared" si="22"/>
        <v>2028</v>
      </c>
      <c r="D29" s="57">
        <f t="shared" si="23"/>
        <v>73</v>
      </c>
      <c r="E29" s="31">
        <f t="shared" si="40"/>
        <v>12</v>
      </c>
      <c r="F29" s="5">
        <f t="shared" si="41"/>
        <v>19359.521926548456</v>
      </c>
      <c r="G29" s="94">
        <f>IF(ISERROR(VLOOKUP(C29,'TABLES-ACTUAL &amp; FUTURE RATES'!$V$10:$X$81,2,FALSE)),0,VLOOKUP(C29,'TABLES-ACTUAL &amp; FUTURE RATES'!$V$10:$X$81,2,FALSE))</f>
        <v>0.02</v>
      </c>
      <c r="H29" s="5">
        <f t="shared" si="2"/>
        <v>387.19043853096912</v>
      </c>
      <c r="I29" s="5">
        <f t="shared" si="3"/>
        <v>19746.712365079424</v>
      </c>
      <c r="J29" s="257">
        <f t="shared" si="42"/>
        <v>0.89473684210526316</v>
      </c>
      <c r="K29" s="254">
        <f t="shared" si="43"/>
        <v>0.10526315789473684</v>
      </c>
      <c r="L29">
        <f t="shared" si="4"/>
        <v>2028</v>
      </c>
      <c r="M29" s="418">
        <f>IF(ISERROR(VLOOKUP(C29,'TABLES-ACTUAL &amp; FUTURE RATES'!$AB$10:$AC$81,2,FALSE)),0,VLOOKUP(C29,'TABLES-ACTUAL &amp; FUTURE RATES'!$AB$10:$AC$81,2,FALSE))</f>
        <v>1.1594202898550724E-3</v>
      </c>
      <c r="N29" s="7">
        <f t="shared" si="5"/>
        <v>49.088314196447058</v>
      </c>
      <c r="O29" s="8">
        <f t="shared" si="44"/>
        <v>15669.180525735794</v>
      </c>
      <c r="P29" s="8">
        <f t="shared" si="45"/>
        <v>184701.96549569975</v>
      </c>
      <c r="Q29" s="9">
        <f t="shared" si="6"/>
        <v>-4077.5318393436301</v>
      </c>
      <c r="R29" s="9">
        <f t="shared" si="46"/>
        <v>-27506.664050550709</v>
      </c>
      <c r="T29" s="93">
        <f>IF(ISERROR(VLOOKUP(C29,'TABLES-ACTUAL &amp; FUTURE RATES'!$AD$10:$AE$81,2,FALSE)),0,VLOOKUP(C29,'TABLES-ACTUAL &amp; FUTURE RATES'!$AD$10:$AE$81,2,FALSE))</f>
        <v>0</v>
      </c>
      <c r="U29" s="7">
        <f t="shared" si="7"/>
        <v>32.849659690646789</v>
      </c>
      <c r="V29" s="8">
        <f t="shared" si="47"/>
        <v>15636.438012747873</v>
      </c>
      <c r="W29" s="9">
        <f t="shared" si="8"/>
        <v>-4110.2743523315512</v>
      </c>
      <c r="X29" s="9">
        <f t="shared" si="48"/>
        <v>-27379.868056643325</v>
      </c>
      <c r="Z29" s="93">
        <f>IF(ISERROR(VLOOKUP(C29,'TABLES-ACTUAL &amp; FUTURE RATES'!$AF$10:$AG$81,2,FALSE)),0,VLOOKUP(C29,'TABLES-ACTUAL &amp; FUTURE RATES'!$AF$10:$AG$81,2,FALSE))</f>
        <v>0</v>
      </c>
      <c r="AA29" s="7">
        <f t="shared" si="9"/>
        <v>32.693983917843468</v>
      </c>
      <c r="AB29" s="8">
        <f t="shared" si="49"/>
        <v>15562.336344893492</v>
      </c>
      <c r="AC29" s="9">
        <f t="shared" si="10"/>
        <v>-4184.3760201859313</v>
      </c>
      <c r="AD29" s="9">
        <f t="shared" si="50"/>
        <v>-28159.244334459778</v>
      </c>
      <c r="AF29" s="93">
        <f>IF(ISERROR(VLOOKUP(C29,'TABLES-ACTUAL &amp; FUTURE RATES'!$AH$10:$AI$81,2,FALSE)),0,VLOOKUP(C29,'TABLES-ACTUAL &amp; FUTURE RATES'!$AH$10:$AI$81,2,FALSE))</f>
        <v>5.7971014492753622E-4</v>
      </c>
      <c r="AG29" s="7">
        <f t="shared" si="11"/>
        <v>40.727986318398059</v>
      </c>
      <c r="AH29" s="8">
        <f t="shared" si="51"/>
        <v>15562.353004754403</v>
      </c>
      <c r="AI29" s="24">
        <f t="shared" si="12"/>
        <v>-4184.359360325021</v>
      </c>
      <c r="AJ29" s="9">
        <f t="shared" si="52"/>
        <v>-28191.046326382289</v>
      </c>
      <c r="AL29" s="93">
        <f>IF(ISERROR(VLOOKUP(C29,'TABLES-ACTUAL &amp; FUTURE RATES'!$AJ$10:$AK$81,2,FALSE)),0,VLOOKUP(C29,'TABLES-ACTUAL &amp; FUTURE RATES'!$AJ$10:$AK$81,2,FALSE))</f>
        <v>5.7971014492753622E-4</v>
      </c>
      <c r="AM29" s="7">
        <f t="shared" si="13"/>
        <v>40.770136883565854</v>
      </c>
      <c r="AN29" s="8">
        <f t="shared" si="53"/>
        <v>15578.458931754158</v>
      </c>
      <c r="AO29" s="9">
        <f t="shared" si="14"/>
        <v>-4168.2534333252661</v>
      </c>
      <c r="AP29" s="9">
        <f t="shared" si="54"/>
        <v>-28118.954036181713</v>
      </c>
      <c r="AR29" s="32">
        <f>IF(ISERROR(VLOOKUP(C29,'TABLES-ACTUAL &amp; FUTURE RATES'!$AL$10:$AN$81,3,FALSE)),0,VLOOKUP(C29,'TABLES-ACTUAL &amp; FUTURE RATES'!$AL$10:$AN$81,3,FALSE))</f>
        <v>0.75</v>
      </c>
      <c r="AS29" s="93">
        <f>IF(ISERROR(VLOOKUP(C29,'TABLES-ACTUAL &amp; FUTURE RATES'!$AL$10:$AM$81,2,FALSE)),0,VLOOKUP(C29,'TABLES-ACTUAL &amp; FUTURE RATES'!$AL$10:$AM$81,2,FALSE))</f>
        <v>8.6956521739130427E-4</v>
      </c>
      <c r="AT29" s="7">
        <f t="shared" si="15"/>
        <v>44.892523509698663</v>
      </c>
      <c r="AU29" s="8">
        <f t="shared" si="55"/>
        <v>15614.759804254396</v>
      </c>
      <c r="AV29" s="9">
        <f t="shared" si="16"/>
        <v>-4131.9525608250278</v>
      </c>
      <c r="AW29" s="9">
        <f t="shared" si="56"/>
        <v>-27926.814269764633</v>
      </c>
      <c r="AX29" s="225"/>
      <c r="AY29">
        <f t="shared" si="17"/>
        <v>73</v>
      </c>
      <c r="AZ29" s="9">
        <f t="shared" si="24"/>
        <v>15636.438012747873</v>
      </c>
      <c r="BA29" s="9">
        <f t="shared" si="25"/>
        <v>-32.742512987921145</v>
      </c>
      <c r="BB29" s="9">
        <f t="shared" si="57"/>
        <v>184828.76148960716</v>
      </c>
      <c r="BC29" s="9">
        <f t="shared" si="26"/>
        <v>126.79599390740623</v>
      </c>
      <c r="BD29" s="9">
        <f t="shared" si="27"/>
        <v>15562.336344893492</v>
      </c>
      <c r="BE29" s="9">
        <f t="shared" si="28"/>
        <v>-106.84418084230128</v>
      </c>
      <c r="BF29" s="9">
        <f t="shared" si="58"/>
        <v>184049.38521179068</v>
      </c>
      <c r="BG29" s="9">
        <f t="shared" si="29"/>
        <v>-652.58028390907566</v>
      </c>
      <c r="BH29" s="9">
        <f t="shared" si="30"/>
        <v>15562.353004754403</v>
      </c>
      <c r="BI29" s="9">
        <f t="shared" si="31"/>
        <v>-106.82752098139099</v>
      </c>
      <c r="BJ29" s="9">
        <f t="shared" si="59"/>
        <v>184017.58321986819</v>
      </c>
      <c r="BK29" s="9">
        <f t="shared" si="32"/>
        <v>-684.38227583156549</v>
      </c>
      <c r="BL29" s="9">
        <f t="shared" si="33"/>
        <v>15578.458931754158</v>
      </c>
      <c r="BM29" s="9">
        <f t="shared" si="34"/>
        <v>-90.721593981636033</v>
      </c>
      <c r="BN29" s="9">
        <f t="shared" si="60"/>
        <v>184089.6755100688</v>
      </c>
      <c r="BO29" s="9">
        <f t="shared" si="35"/>
        <v>-612.28998563095229</v>
      </c>
      <c r="BP29" s="9">
        <f t="shared" si="36"/>
        <v>15614.759804254396</v>
      </c>
      <c r="BQ29" s="9">
        <f t="shared" si="37"/>
        <v>-54.420721481397777</v>
      </c>
      <c r="BR29" s="9">
        <f t="shared" si="61"/>
        <v>184281.81527648584</v>
      </c>
      <c r="BS29" s="9">
        <f t="shared" si="38"/>
        <v>-420.15021921391599</v>
      </c>
      <c r="BV29" s="310">
        <f t="shared" si="18"/>
        <v>387.19043853096912</v>
      </c>
      <c r="BW29" s="311">
        <f t="shared" si="19"/>
        <v>19746.712365079424</v>
      </c>
      <c r="BX29" s="315">
        <f t="shared" si="39"/>
        <v>0.27829999999999999</v>
      </c>
      <c r="BY29" s="9">
        <f t="shared" si="20"/>
        <v>4174.5</v>
      </c>
      <c r="BZ29" s="263">
        <f t="shared" si="21"/>
        <v>19174.5</v>
      </c>
      <c r="CA29" s="299"/>
    </row>
    <row r="30" spans="2:79" ht="17" thickBot="1">
      <c r="C30" s="262">
        <f t="shared" si="22"/>
        <v>2029</v>
      </c>
      <c r="D30" s="57">
        <f t="shared" si="23"/>
        <v>74</v>
      </c>
      <c r="E30" s="31">
        <f t="shared" si="40"/>
        <v>13</v>
      </c>
      <c r="F30" s="5">
        <f t="shared" si="41"/>
        <v>19746.712365079424</v>
      </c>
      <c r="G30" s="94">
        <f>IF(ISERROR(VLOOKUP(C30,'TABLES-ACTUAL &amp; FUTURE RATES'!$V$10:$X$81,2,FALSE)),0,VLOOKUP(C30,'TABLES-ACTUAL &amp; FUTURE RATES'!$V$10:$X$81,2,FALSE))</f>
        <v>0.02</v>
      </c>
      <c r="H30" s="5">
        <f t="shared" si="2"/>
        <v>394.93424730158847</v>
      </c>
      <c r="I30" s="5">
        <f t="shared" si="3"/>
        <v>20141.646612381013</v>
      </c>
      <c r="J30" s="257">
        <f t="shared" si="42"/>
        <v>0.89473684210526316</v>
      </c>
      <c r="K30" s="254">
        <f t="shared" si="43"/>
        <v>0.10526315789473684</v>
      </c>
      <c r="L30">
        <f t="shared" si="4"/>
        <v>2029</v>
      </c>
      <c r="M30" s="418">
        <f>IF(ISERROR(VLOOKUP(C30,'TABLES-ACTUAL &amp; FUTURE RATES'!$AB$10:$AC$81,2,FALSE)),0,VLOOKUP(C30,'TABLES-ACTUAL &amp; FUTURE RATES'!$AB$10:$AC$81,2,FALSE))</f>
        <v>1.1594202898550724E-3</v>
      </c>
      <c r="N30" s="7">
        <f t="shared" si="5"/>
        <v>49.242581057232243</v>
      </c>
      <c r="O30" s="8">
        <f t="shared" si="44"/>
        <v>15718.423106793027</v>
      </c>
      <c r="P30" s="8">
        <f t="shared" si="45"/>
        <v>200420.38860249278</v>
      </c>
      <c r="Q30" s="9">
        <f t="shared" si="6"/>
        <v>-4423.2235055879864</v>
      </c>
      <c r="R30" s="9">
        <f t="shared" si="46"/>
        <v>-31929.887556138696</v>
      </c>
      <c r="T30" s="93">
        <f>IF(ISERROR(VLOOKUP(C30,'TABLES-ACTUAL &amp; FUTURE RATES'!$AD$10:$AE$81,2,FALSE)),0,VLOOKUP(C30,'TABLES-ACTUAL &amp; FUTURE RATES'!$AD$10:$AE$81,2,FALSE))</f>
        <v>0</v>
      </c>
      <c r="U30" s="7">
        <f t="shared" si="7"/>
        <v>32.918816868942884</v>
      </c>
      <c r="V30" s="8">
        <f t="shared" si="47"/>
        <v>15669.356829616816</v>
      </c>
      <c r="W30" s="9">
        <f t="shared" si="8"/>
        <v>-4472.2897827641973</v>
      </c>
      <c r="X30" s="9">
        <f t="shared" si="48"/>
        <v>-31852.157839407522</v>
      </c>
      <c r="Z30" s="93">
        <f>IF(ISERROR(VLOOKUP(C30,'TABLES-ACTUAL &amp; FUTURE RATES'!$AF$10:$AG$81,2,FALSE)),0,VLOOKUP(C30,'TABLES-ACTUAL &amp; FUTURE RATES'!$AF$10:$AG$81,2,FALSE))</f>
        <v>1.1594202898550724E-3</v>
      </c>
      <c r="AA30" s="7">
        <f t="shared" si="9"/>
        <v>48.906808345508153</v>
      </c>
      <c r="AB30" s="8">
        <f t="shared" si="49"/>
        <v>15611.243153239</v>
      </c>
      <c r="AC30" s="9">
        <f t="shared" si="10"/>
        <v>-4530.4034591420132</v>
      </c>
      <c r="AD30" s="9">
        <f t="shared" si="50"/>
        <v>-32689.647793601791</v>
      </c>
      <c r="AF30" s="93">
        <f>IF(ISERROR(VLOOKUP(C30,'TABLES-ACTUAL &amp; FUTURE RATES'!$AH$10:$AI$81,2,FALSE)),0,VLOOKUP(C30,'TABLES-ACTUAL &amp; FUTURE RATES'!$AH$10:$AI$81,2,FALSE))</f>
        <v>5.7971014492753622E-4</v>
      </c>
      <c r="AG30" s="7">
        <f t="shared" si="11"/>
        <v>40.83485456625106</v>
      </c>
      <c r="AH30" s="8">
        <f t="shared" si="51"/>
        <v>15603.187859320653</v>
      </c>
      <c r="AI30" s="24">
        <f t="shared" si="12"/>
        <v>-4538.4587530603603</v>
      </c>
      <c r="AJ30" s="9">
        <f t="shared" si="52"/>
        <v>-32729.50507944265</v>
      </c>
      <c r="AL30" s="93">
        <f>IF(ISERROR(VLOOKUP(C30,'TABLES-ACTUAL &amp; FUTURE RATES'!$AJ$10:$AK$81,2,FALSE)),0,VLOOKUP(C30,'TABLES-ACTUAL &amp; FUTURE RATES'!$AJ$10:$AK$81,2,FALSE))</f>
        <v>1.1594202898550724E-3</v>
      </c>
      <c r="AM30" s="7">
        <f t="shared" si="13"/>
        <v>48.957475819090106</v>
      </c>
      <c r="AN30" s="8">
        <f t="shared" si="53"/>
        <v>15627.416407573248</v>
      </c>
      <c r="AO30" s="9">
        <f t="shared" si="14"/>
        <v>-4514.2302048077654</v>
      </c>
      <c r="AP30" s="9">
        <f t="shared" si="54"/>
        <v>-32633.184240989478</v>
      </c>
      <c r="AR30" s="32">
        <f>IF(ISERROR(VLOOKUP(C30,'TABLES-ACTUAL &amp; FUTURE RATES'!$AL$10:$AN$81,3,FALSE)),0,VLOOKUP(C30,'TABLES-ACTUAL &amp; FUTURE RATES'!$AL$10:$AN$81,3,FALSE))</f>
        <v>0.75</v>
      </c>
      <c r="AS30" s="93">
        <f>IF(ISERROR(VLOOKUP(C30,'TABLES-ACTUAL &amp; FUTURE RATES'!$AL$10:$AM$81,2,FALSE)),0,VLOOKUP(C30,'TABLES-ACTUAL &amp; FUTURE RATES'!$AL$10:$AM$81,2,FALSE))</f>
        <v>8.6956521739130427E-4</v>
      </c>
      <c r="AT30" s="7">
        <f t="shared" si="15"/>
        <v>45.021961907003515</v>
      </c>
      <c r="AU30" s="8">
        <f t="shared" si="55"/>
        <v>15659.781766161399</v>
      </c>
      <c r="AV30" s="9">
        <f t="shared" si="16"/>
        <v>-4481.8648462196143</v>
      </c>
      <c r="AW30" s="9">
        <f t="shared" si="56"/>
        <v>-32408.679115984247</v>
      </c>
      <c r="AX30" s="225"/>
      <c r="AY30">
        <f t="shared" si="17"/>
        <v>74</v>
      </c>
      <c r="AZ30" s="9">
        <f t="shared" si="24"/>
        <v>15669.356829616816</v>
      </c>
      <c r="BA30" s="9">
        <f t="shared" si="25"/>
        <v>-49.06627717621086</v>
      </c>
      <c r="BB30" s="9">
        <f t="shared" si="57"/>
        <v>200498.11831922398</v>
      </c>
      <c r="BC30" s="9">
        <f t="shared" si="26"/>
        <v>77.729716731206281</v>
      </c>
      <c r="BD30" s="9">
        <f t="shared" si="27"/>
        <v>15611.243153239</v>
      </c>
      <c r="BE30" s="9">
        <f t="shared" si="28"/>
        <v>-107.17995355402672</v>
      </c>
      <c r="BF30" s="9">
        <f t="shared" si="58"/>
        <v>199660.62836502967</v>
      </c>
      <c r="BG30" s="9">
        <f t="shared" si="29"/>
        <v>-759.76023746310966</v>
      </c>
      <c r="BH30" s="9">
        <f t="shared" si="30"/>
        <v>15603.187859320653</v>
      </c>
      <c r="BI30" s="9">
        <f t="shared" si="31"/>
        <v>-115.23524747237389</v>
      </c>
      <c r="BJ30" s="9">
        <f t="shared" si="59"/>
        <v>199620.77107918885</v>
      </c>
      <c r="BK30" s="9">
        <f t="shared" si="32"/>
        <v>-799.61752330392483</v>
      </c>
      <c r="BL30" s="9">
        <f t="shared" si="33"/>
        <v>15627.416407573248</v>
      </c>
      <c r="BM30" s="9">
        <f t="shared" si="34"/>
        <v>-91.006699219778966</v>
      </c>
      <c r="BN30" s="9">
        <f t="shared" si="60"/>
        <v>199717.09191764204</v>
      </c>
      <c r="BO30" s="9">
        <f t="shared" si="35"/>
        <v>-703.29668485073489</v>
      </c>
      <c r="BP30" s="9">
        <f t="shared" si="36"/>
        <v>15659.781766161399</v>
      </c>
      <c r="BQ30" s="9">
        <f t="shared" si="37"/>
        <v>-58.641340631627827</v>
      </c>
      <c r="BR30" s="9">
        <f t="shared" si="61"/>
        <v>199941.59704264725</v>
      </c>
      <c r="BS30" s="9">
        <f t="shared" si="38"/>
        <v>-478.79155984552926</v>
      </c>
      <c r="BV30" s="310">
        <f t="shared" si="18"/>
        <v>394.93424730158847</v>
      </c>
      <c r="BW30" s="311">
        <f t="shared" si="19"/>
        <v>20141.646612381013</v>
      </c>
      <c r="BX30" s="315">
        <f t="shared" si="39"/>
        <v>0.29830000000000001</v>
      </c>
      <c r="BY30" s="9">
        <f t="shared" si="20"/>
        <v>4474.5</v>
      </c>
      <c r="BZ30" s="263">
        <f t="shared" si="21"/>
        <v>19474.5</v>
      </c>
      <c r="CA30" s="299"/>
    </row>
    <row r="31" spans="2:79" ht="17" thickBot="1">
      <c r="C31" s="262">
        <f t="shared" si="22"/>
        <v>2030</v>
      </c>
      <c r="D31" s="57">
        <f t="shared" si="23"/>
        <v>75</v>
      </c>
      <c r="E31" s="49">
        <f t="shared" si="40"/>
        <v>14</v>
      </c>
      <c r="F31" s="46">
        <f t="shared" si="41"/>
        <v>20141.646612381013</v>
      </c>
      <c r="G31" s="94">
        <f>IF(ISERROR(VLOOKUP(C31,'TABLES-ACTUAL &amp; FUTURE RATES'!$V$10:$X$81,2,FALSE)),0,VLOOKUP(C31,'TABLES-ACTUAL &amp; FUTURE RATES'!$V$10:$X$81,2,FALSE))</f>
        <v>0.02</v>
      </c>
      <c r="H31" s="5">
        <f t="shared" si="2"/>
        <v>402.83293224762025</v>
      </c>
      <c r="I31" s="5">
        <f t="shared" si="3"/>
        <v>20544.479544628633</v>
      </c>
      <c r="J31" s="257">
        <f t="shared" si="42"/>
        <v>0.89473684210526316</v>
      </c>
      <c r="K31" s="254">
        <f t="shared" si="43"/>
        <v>0.10526315789473684</v>
      </c>
      <c r="L31">
        <f t="shared" si="4"/>
        <v>2030</v>
      </c>
      <c r="M31" s="418">
        <f>IF(ISERROR(VLOOKUP(C31,'TABLES-ACTUAL &amp; FUTURE RATES'!$AB$10:$AC$81,2,FALSE)),0,VLOOKUP(C31,'TABLES-ACTUAL &amp; FUTURE RATES'!$AB$10:$AC$81,2,FALSE))</f>
        <v>1.1594202898550724E-3</v>
      </c>
      <c r="N31" s="7">
        <f t="shared" si="5"/>
        <v>49.397332723102416</v>
      </c>
      <c r="O31" s="47">
        <f t="shared" si="44"/>
        <v>15767.82043951613</v>
      </c>
      <c r="P31" s="8">
        <f t="shared" si="45"/>
        <v>216188.20904200891</v>
      </c>
      <c r="Q31" s="9">
        <f t="shared" si="6"/>
        <v>-4776.6591051125033</v>
      </c>
      <c r="R31" s="48">
        <f t="shared" si="46"/>
        <v>-36706.546661251195</v>
      </c>
      <c r="T31" s="93">
        <f>IF(ISERROR(VLOOKUP(C31,'TABLES-ACTUAL &amp; FUTURE RATES'!$AD$10:$AE$81,2,FALSE)),0,VLOOKUP(C31,'TABLES-ACTUAL &amp; FUTURE RATES'!$AD$10:$AE$81,2,FALSE))</f>
        <v>0</v>
      </c>
      <c r="U31" s="7">
        <f t="shared" si="7"/>
        <v>32.98811964129856</v>
      </c>
      <c r="V31" s="47">
        <f t="shared" si="47"/>
        <v>15702.344949258115</v>
      </c>
      <c r="W31" s="9">
        <f t="shared" si="8"/>
        <v>-4842.1345953705186</v>
      </c>
      <c r="X31" s="48">
        <f t="shared" si="48"/>
        <v>-36694.292434778043</v>
      </c>
      <c r="Z31" s="93">
        <f>IF(ISERROR(VLOOKUP(C31,'TABLES-ACTUAL &amp; FUTURE RATES'!$AF$10:$AG$81,2,FALSE)),0,VLOOKUP(C31,'TABLES-ACTUAL &amp; FUTURE RATES'!$AF$10:$AG$81,2,FALSE))</f>
        <v>0</v>
      </c>
      <c r="AA31" s="7">
        <f t="shared" si="9"/>
        <v>32.865775059450527</v>
      </c>
      <c r="AB31" s="47">
        <f t="shared" si="49"/>
        <v>15644.10892829845</v>
      </c>
      <c r="AC31" s="9">
        <f t="shared" si="10"/>
        <v>-4900.3706163301831</v>
      </c>
      <c r="AD31" s="48">
        <f t="shared" si="50"/>
        <v>-37590.018409931974</v>
      </c>
      <c r="AF31" s="93">
        <f>IF(ISERROR(VLOOKUP(C31,'TABLES-ACTUAL &amp; FUTURE RATES'!$AH$10:$AI$81,2,FALSE)),0,VLOOKUP(C31,'TABLES-ACTUAL &amp; FUTURE RATES'!$AH$10:$AI$81,2,FALSE))</f>
        <v>5.7971014492753622E-4</v>
      </c>
      <c r="AG31" s="7">
        <f t="shared" si="11"/>
        <v>40.942003231169373</v>
      </c>
      <c r="AH31" s="47">
        <f t="shared" si="51"/>
        <v>15644.129862551823</v>
      </c>
      <c r="AI31" s="24">
        <f t="shared" si="12"/>
        <v>-4900.3496820768105</v>
      </c>
      <c r="AJ31" s="48">
        <f t="shared" si="52"/>
        <v>-37629.854761519462</v>
      </c>
      <c r="AL31" s="93">
        <f>IF(ISERROR(VLOOKUP(C31,'TABLES-ACTUAL &amp; FUTURE RATES'!$AJ$10:$AK$81,2,FALSE)),0,VLOOKUP(C31,'TABLES-ACTUAL &amp; FUTURE RATES'!$AJ$10:$AK$81,2,FALSE))</f>
        <v>5.7971014492753622E-4</v>
      </c>
      <c r="AM31" s="7">
        <f t="shared" si="13"/>
        <v>41.005577759002264</v>
      </c>
      <c r="AN31" s="47">
        <f t="shared" si="53"/>
        <v>15668.42198533225</v>
      </c>
      <c r="AO31" s="9">
        <f t="shared" si="14"/>
        <v>-4876.0575592963833</v>
      </c>
      <c r="AP31" s="48">
        <f t="shared" si="54"/>
        <v>-37509.241800285861</v>
      </c>
      <c r="AR31" s="32">
        <f>IF(ISERROR(VLOOKUP(C31,'TABLES-ACTUAL &amp; FUTURE RATES'!$AL$10:$AN$81,3,FALSE)),0,VLOOKUP(C31,'TABLES-ACTUAL &amp; FUTURE RATES'!$AL$10:$AN$81,3,FALSE))</f>
        <v>0.75</v>
      </c>
      <c r="AS31" s="93">
        <f>IF(ISERROR(VLOOKUP(C31,'TABLES-ACTUAL &amp; FUTURE RATES'!$AL$10:$AM$81,2,FALSE)),0,VLOOKUP(C31,'TABLES-ACTUAL &amp; FUTURE RATES'!$AL$10:$AM$81,2,FALSE))</f>
        <v>8.6956521739130427E-4</v>
      </c>
      <c r="AT31" s="7">
        <f t="shared" si="15"/>
        <v>45.151773513417304</v>
      </c>
      <c r="AU31" s="47">
        <f t="shared" si="55"/>
        <v>15704.933539674816</v>
      </c>
      <c r="AV31" s="9">
        <f t="shared" si="16"/>
        <v>-4839.5460049538178</v>
      </c>
      <c r="AW31" s="48">
        <f t="shared" si="56"/>
        <v>-37248.225120938063</v>
      </c>
      <c r="AX31" s="225"/>
      <c r="AY31">
        <f t="shared" si="17"/>
        <v>75</v>
      </c>
      <c r="AZ31" s="9">
        <f t="shared" si="24"/>
        <v>15702.344949258115</v>
      </c>
      <c r="BA31" s="9">
        <f t="shared" si="25"/>
        <v>-65.47549025801527</v>
      </c>
      <c r="BB31" s="9">
        <f t="shared" si="57"/>
        <v>216200.4632684821</v>
      </c>
      <c r="BC31" s="9">
        <f t="shared" si="26"/>
        <v>12.254226473189192</v>
      </c>
      <c r="BD31" s="9">
        <f t="shared" si="27"/>
        <v>15644.10892829845</v>
      </c>
      <c r="BE31" s="9">
        <f t="shared" si="28"/>
        <v>-123.7115112176798</v>
      </c>
      <c r="BF31" s="9">
        <f t="shared" si="58"/>
        <v>215304.73729332813</v>
      </c>
      <c r="BG31" s="9">
        <f t="shared" si="29"/>
        <v>-883.47174868077855</v>
      </c>
      <c r="BH31" s="9">
        <f t="shared" si="30"/>
        <v>15644.129862551823</v>
      </c>
      <c r="BI31" s="9">
        <f t="shared" si="31"/>
        <v>-123.69057696430718</v>
      </c>
      <c r="BJ31" s="9">
        <f t="shared" si="59"/>
        <v>215264.90094174066</v>
      </c>
      <c r="BK31" s="9">
        <f t="shared" si="32"/>
        <v>-923.30810026824474</v>
      </c>
      <c r="BL31" s="9">
        <f t="shared" si="33"/>
        <v>15668.42198533225</v>
      </c>
      <c r="BM31" s="9">
        <f t="shared" si="34"/>
        <v>-99.398454183879949</v>
      </c>
      <c r="BN31" s="9">
        <f t="shared" si="60"/>
        <v>215385.51390297429</v>
      </c>
      <c r="BO31" s="9">
        <f t="shared" si="35"/>
        <v>-802.69513903462212</v>
      </c>
      <c r="BP31" s="9">
        <f t="shared" si="36"/>
        <v>15704.933539674816</v>
      </c>
      <c r="BQ31" s="9">
        <f t="shared" si="37"/>
        <v>-62.886899841314516</v>
      </c>
      <c r="BR31" s="9">
        <f t="shared" si="61"/>
        <v>215646.53058232207</v>
      </c>
      <c r="BS31" s="9">
        <f t="shared" si="38"/>
        <v>-541.67845968683832</v>
      </c>
      <c r="BV31" s="310">
        <f t="shared" si="18"/>
        <v>402.83293224762025</v>
      </c>
      <c r="BW31" s="311">
        <f t="shared" si="19"/>
        <v>20544.479544628633</v>
      </c>
      <c r="BX31" s="315">
        <f t="shared" si="39"/>
        <v>0.31830000000000003</v>
      </c>
      <c r="BY31" s="9">
        <f t="shared" si="20"/>
        <v>4774.5</v>
      </c>
      <c r="BZ31" s="263">
        <f t="shared" si="21"/>
        <v>19774.5</v>
      </c>
      <c r="CA31" s="299"/>
    </row>
    <row r="32" spans="2:79" ht="17" thickBot="1">
      <c r="C32" s="262">
        <f t="shared" si="22"/>
        <v>2031</v>
      </c>
      <c r="D32" s="57">
        <f t="shared" si="23"/>
        <v>76</v>
      </c>
      <c r="E32" s="62">
        <f t="shared" si="40"/>
        <v>15</v>
      </c>
      <c r="F32" s="50">
        <f t="shared" si="41"/>
        <v>20544.479544628633</v>
      </c>
      <c r="G32" s="94">
        <f>IF(ISERROR(VLOOKUP(C32,'TABLES-ACTUAL &amp; FUTURE RATES'!$V$10:$X$81,2,FALSE)),0,VLOOKUP(C32,'TABLES-ACTUAL &amp; FUTURE RATES'!$V$10:$X$81,2,FALSE))</f>
        <v>0.02</v>
      </c>
      <c r="H32" s="5">
        <f t="shared" si="2"/>
        <v>410.8895908925727</v>
      </c>
      <c r="I32" s="5">
        <f t="shared" si="3"/>
        <v>20955.369135521207</v>
      </c>
      <c r="J32" s="257">
        <f t="shared" si="42"/>
        <v>0.89473684210526316</v>
      </c>
      <c r="K32" s="254">
        <f t="shared" si="43"/>
        <v>0.10526315789473684</v>
      </c>
      <c r="L32">
        <f t="shared" si="4"/>
        <v>2031</v>
      </c>
      <c r="M32" s="418">
        <f>IF(ISERROR(VLOOKUP(C32,'TABLES-ACTUAL &amp; FUTURE RATES'!$AB$10:$AC$81,2,FALSE)),0,VLOOKUP(C32,'TABLES-ACTUAL &amp; FUTURE RATES'!$AB$10:$AC$81,2,FALSE))</f>
        <v>1.1594202898550724E-3</v>
      </c>
      <c r="N32" s="7">
        <f t="shared" si="5"/>
        <v>49.552570717625059</v>
      </c>
      <c r="O32" s="52">
        <f t="shared" si="44"/>
        <v>15817.373010233756</v>
      </c>
      <c r="P32" s="8">
        <f t="shared" si="45"/>
        <v>232005.58205224265</v>
      </c>
      <c r="Q32" s="9">
        <f t="shared" si="6"/>
        <v>-5137.9961252874509</v>
      </c>
      <c r="R32" s="53">
        <f t="shared" si="46"/>
        <v>-41844.542786538645</v>
      </c>
      <c r="S32" s="51"/>
      <c r="T32" s="93">
        <f>IF(ISERROR(VLOOKUP(C32,'TABLES-ACTUAL &amp; FUTURE RATES'!$AD$10:$AE$81,2,FALSE)),0,VLOOKUP(C32,'TABLES-ACTUAL &amp; FUTURE RATES'!$AD$10:$AE$81,2,FALSE))</f>
        <v>0</v>
      </c>
      <c r="U32" s="7">
        <f t="shared" si="7"/>
        <v>33.057568314227609</v>
      </c>
      <c r="V32" s="52">
        <f t="shared" si="47"/>
        <v>15735.402517572342</v>
      </c>
      <c r="W32" s="9">
        <f t="shared" si="8"/>
        <v>-5219.966617948865</v>
      </c>
      <c r="X32" s="53">
        <f t="shared" si="48"/>
        <v>-41914.259052726906</v>
      </c>
      <c r="Y32" s="51"/>
      <c r="Z32" s="93">
        <f>IF(ISERROR(VLOOKUP(C32,'TABLES-ACTUAL &amp; FUTURE RATES'!$AF$10:$AG$81,2,FALSE)),0,VLOOKUP(C32,'TABLES-ACTUAL &amp; FUTURE RATES'!$AF$10:$AG$81,2,FALSE))</f>
        <v>1.1594202898550724E-3</v>
      </c>
      <c r="AA32" s="7">
        <f t="shared" si="9"/>
        <v>49.163790072150732</v>
      </c>
      <c r="AB32" s="52">
        <f t="shared" si="49"/>
        <v>15693.272718370601</v>
      </c>
      <c r="AC32" s="9">
        <f t="shared" si="10"/>
        <v>-5262.0964171506057</v>
      </c>
      <c r="AD32" s="53">
        <f t="shared" si="50"/>
        <v>-42852.11482708258</v>
      </c>
      <c r="AE32" s="51"/>
      <c r="AF32" s="93">
        <f>IF(ISERROR(VLOOKUP(C32,'TABLES-ACTUAL &amp; FUTURE RATES'!$AH$10:$AI$81,2,FALSE)),0,VLOOKUP(C32,'TABLES-ACTUAL &amp; FUTURE RATES'!$AH$10:$AI$81,2,FALSE))</f>
        <v>5.7971014492753622E-4</v>
      </c>
      <c r="AG32" s="7">
        <f t="shared" si="11"/>
        <v>41.049433048953674</v>
      </c>
      <c r="AH32" s="52">
        <f t="shared" si="51"/>
        <v>15685.179295600776</v>
      </c>
      <c r="AI32" s="24">
        <f t="shared" si="12"/>
        <v>-5270.189839920431</v>
      </c>
      <c r="AJ32" s="53">
        <f t="shared" si="52"/>
        <v>-42900.044601439891</v>
      </c>
      <c r="AK32" s="51"/>
      <c r="AL32" s="93">
        <f>IF(ISERROR(VLOOKUP(C32,'TABLES-ACTUAL &amp; FUTURE RATES'!$AJ$10:$AK$81,2,FALSE)),0,VLOOKUP(C32,'TABLES-ACTUAL &amp; FUTURE RATES'!$AJ$10:$AK$81,2,FALSE))</f>
        <v>5.7971014492753622E-4</v>
      </c>
      <c r="AM32" s="7">
        <f t="shared" si="13"/>
        <v>41.113174393244044</v>
      </c>
      <c r="AN32" s="52">
        <f t="shared" si="53"/>
        <v>15709.535159725494</v>
      </c>
      <c r="AO32" s="9">
        <f t="shared" si="14"/>
        <v>-5245.8339757957128</v>
      </c>
      <c r="AP32" s="53">
        <f t="shared" si="54"/>
        <v>-42755.075776081576</v>
      </c>
      <c r="AQ32" s="51"/>
      <c r="AR32" s="32">
        <f>IF(ISERROR(VLOOKUP(C32,'TABLES-ACTUAL &amp; FUTURE RATES'!$AL$10:$AN$81,3,FALSE)),0,VLOOKUP(C32,'TABLES-ACTUAL &amp; FUTURE RATES'!$AL$10:$AN$81,3,FALSE))</f>
        <v>0.75</v>
      </c>
      <c r="AS32" s="93">
        <f>IF(ISERROR(VLOOKUP(C32,'TABLES-ACTUAL &amp; FUTURE RATES'!$AL$10:$AM$81,2,FALSE)),0,VLOOKUP(C32,'TABLES-ACTUAL &amp; FUTURE RATES'!$AL$10:$AM$81,2,FALSE))</f>
        <v>8.6956521739130427E-4</v>
      </c>
      <c r="AT32" s="7">
        <f t="shared" si="15"/>
        <v>45.281959405012053</v>
      </c>
      <c r="AU32" s="52">
        <f t="shared" si="55"/>
        <v>15750.215499079828</v>
      </c>
      <c r="AV32" s="9">
        <f t="shared" si="16"/>
        <v>-5205.1536364413787</v>
      </c>
      <c r="AW32" s="54">
        <f t="shared" si="56"/>
        <v>-42453.37875737944</v>
      </c>
      <c r="AX32" s="225"/>
      <c r="AY32">
        <f t="shared" si="17"/>
        <v>76</v>
      </c>
      <c r="AZ32" s="9">
        <f t="shared" si="24"/>
        <v>15735.402517572342</v>
      </c>
      <c r="BA32" s="9">
        <f t="shared" si="25"/>
        <v>-81.970492661414028</v>
      </c>
      <c r="BB32" s="9">
        <f t="shared" si="57"/>
        <v>231935.86578605443</v>
      </c>
      <c r="BC32" s="9">
        <f t="shared" si="26"/>
        <v>-69.71626618821756</v>
      </c>
      <c r="BD32" s="9">
        <f t="shared" si="27"/>
        <v>15693.272718370601</v>
      </c>
      <c r="BE32" s="9">
        <f t="shared" si="28"/>
        <v>-124.10029186315478</v>
      </c>
      <c r="BF32" s="9">
        <f t="shared" si="58"/>
        <v>230998.01001169873</v>
      </c>
      <c r="BG32" s="9">
        <f t="shared" si="29"/>
        <v>-1007.5720405439206</v>
      </c>
      <c r="BH32" s="9">
        <f t="shared" si="30"/>
        <v>15685.179295600776</v>
      </c>
      <c r="BI32" s="9">
        <f t="shared" si="31"/>
        <v>-132.19371463298012</v>
      </c>
      <c r="BJ32" s="9">
        <f t="shared" si="59"/>
        <v>230950.08023734143</v>
      </c>
      <c r="BK32" s="9">
        <f t="shared" si="32"/>
        <v>-1055.5018149012176</v>
      </c>
      <c r="BL32" s="9">
        <f t="shared" si="33"/>
        <v>15709.535159725494</v>
      </c>
      <c r="BM32" s="9">
        <f t="shared" si="34"/>
        <v>-107.83785050826191</v>
      </c>
      <c r="BN32" s="9">
        <f t="shared" si="60"/>
        <v>231095.04906269978</v>
      </c>
      <c r="BO32" s="9">
        <f t="shared" si="35"/>
        <v>-910.53298954287311</v>
      </c>
      <c r="BP32" s="9">
        <f t="shared" si="36"/>
        <v>15750.215499079828</v>
      </c>
      <c r="BQ32" s="9">
        <f t="shared" si="37"/>
        <v>-67.157511153927771</v>
      </c>
      <c r="BR32" s="9">
        <f t="shared" si="61"/>
        <v>231396.74608140189</v>
      </c>
      <c r="BS32" s="9">
        <f t="shared" si="38"/>
        <v>-608.83597084076609</v>
      </c>
      <c r="BV32" s="310">
        <f t="shared" si="18"/>
        <v>410.8895908925727</v>
      </c>
      <c r="BW32" s="311">
        <f t="shared" si="19"/>
        <v>20955.369135521207</v>
      </c>
      <c r="BX32" s="315">
        <f t="shared" si="39"/>
        <v>0.33830000000000005</v>
      </c>
      <c r="BY32" s="9">
        <f t="shared" si="20"/>
        <v>5074.5000000000009</v>
      </c>
      <c r="BZ32" s="263">
        <f t="shared" si="21"/>
        <v>20074.5</v>
      </c>
      <c r="CA32" s="299"/>
    </row>
    <row r="33" spans="3:79" ht="17" thickBot="1">
      <c r="C33" s="262">
        <f t="shared" si="22"/>
        <v>2032</v>
      </c>
      <c r="D33" s="57">
        <f t="shared" si="23"/>
        <v>77</v>
      </c>
      <c r="E33" s="63">
        <f t="shared" si="40"/>
        <v>16</v>
      </c>
      <c r="F33" s="10">
        <f t="shared" si="41"/>
        <v>20955.369135521207</v>
      </c>
      <c r="G33" s="94">
        <f>IF(ISERROR(VLOOKUP(C33,'TABLES-ACTUAL &amp; FUTURE RATES'!$V$10:$X$81,2,FALSE)),0,VLOOKUP(C33,'TABLES-ACTUAL &amp; FUTURE RATES'!$V$10:$X$81,2,FALSE))</f>
        <v>0.02</v>
      </c>
      <c r="H33" s="5">
        <f t="shared" si="2"/>
        <v>419.10738271042413</v>
      </c>
      <c r="I33" s="5">
        <f t="shared" si="3"/>
        <v>21374.47651823163</v>
      </c>
      <c r="J33" s="257">
        <f t="shared" si="42"/>
        <v>0.89473684210526316</v>
      </c>
      <c r="K33" s="254">
        <f t="shared" si="43"/>
        <v>0.10526315789473684</v>
      </c>
      <c r="L33">
        <f t="shared" si="4"/>
        <v>2032</v>
      </c>
      <c r="M33" s="418">
        <f>IF(ISERROR(VLOOKUP(C33,'TABLES-ACTUAL &amp; FUTURE RATES'!$AB$10:$AC$81,2,FALSE)),0,VLOOKUP(C33,'TABLES-ACTUAL &amp; FUTURE RATES'!$AB$10:$AC$81,2,FALSE))</f>
        <v>1.1594202898550724E-3</v>
      </c>
      <c r="N33" s="7">
        <f t="shared" si="5"/>
        <v>49.708296569155664</v>
      </c>
      <c r="O33" s="23">
        <f t="shared" si="44"/>
        <v>15867.081306802911</v>
      </c>
      <c r="P33" s="8">
        <f t="shared" si="45"/>
        <v>247872.66335904557</v>
      </c>
      <c r="Q33" s="9">
        <f t="shared" si="6"/>
        <v>-5507.3952114287185</v>
      </c>
      <c r="R33" s="24">
        <f t="shared" si="46"/>
        <v>-47351.937997967361</v>
      </c>
      <c r="T33" s="93">
        <f>IF(ISERROR(VLOOKUP(C33,'TABLES-ACTUAL &amp; FUTURE RATES'!$AD$10:$AE$81,2,FALSE)),0,VLOOKUP(C33,'TABLES-ACTUAL &amp; FUTURE RATES'!$AD$10:$AE$81,2,FALSE))</f>
        <v>0</v>
      </c>
      <c r="U33" s="7">
        <f t="shared" si="7"/>
        <v>33.127163194889143</v>
      </c>
      <c r="V33" s="23">
        <f t="shared" si="47"/>
        <v>15768.529680767231</v>
      </c>
      <c r="W33" s="9">
        <f t="shared" si="8"/>
        <v>-5605.9468374643984</v>
      </c>
      <c r="X33" s="24">
        <f t="shared" si="48"/>
        <v>-47520.205890191304</v>
      </c>
      <c r="Z33" s="93">
        <f>IF(ISERROR(VLOOKUP(C33,'TABLES-ACTUAL &amp; FUTURE RATES'!$AF$10:$AG$81,2,FALSE)),0,VLOOKUP(C33,'TABLES-ACTUAL &amp; FUTURE RATES'!$AF$10:$AG$81,2,FALSE))</f>
        <v>0</v>
      </c>
      <c r="AA33" s="7">
        <f t="shared" si="9"/>
        <v>33.038468880780208</v>
      </c>
      <c r="AB33" s="23">
        <f t="shared" si="49"/>
        <v>15726.311187251382</v>
      </c>
      <c r="AC33" s="9">
        <f t="shared" si="10"/>
        <v>-5648.1653309802477</v>
      </c>
      <c r="AD33" s="24">
        <f t="shared" si="50"/>
        <v>-48500.280158062829</v>
      </c>
      <c r="AF33" s="93">
        <f>IF(ISERROR(VLOOKUP(C33,'TABLES-ACTUAL &amp; FUTURE RATES'!$AH$10:$AI$81,2,FALSE)),0,VLOOKUP(C33,'TABLES-ACTUAL &amp; FUTURE RATES'!$AH$10:$AI$81,2,FALSE))</f>
        <v>5.7971014492753622E-4</v>
      </c>
      <c r="AG33" s="7">
        <f t="shared" si="11"/>
        <v>41.157144757335367</v>
      </c>
      <c r="AH33" s="23">
        <f t="shared" si="51"/>
        <v>15726.336440358111</v>
      </c>
      <c r="AI33" s="24">
        <f t="shared" si="12"/>
        <v>-5648.1400778735187</v>
      </c>
      <c r="AJ33" s="24">
        <f t="shared" si="52"/>
        <v>-48548.18467931341</v>
      </c>
      <c r="AL33" s="93">
        <f>IF(ISERROR(VLOOKUP(C33,'TABLES-ACTUAL &amp; FUTURE RATES'!$AJ$10:$AK$81,2,FALSE)),0,VLOOKUP(C33,'TABLES-ACTUAL &amp; FUTURE RATES'!$AJ$10:$AK$81,2,FALSE))</f>
        <v>1.1594202898550724E-3</v>
      </c>
      <c r="AM33" s="7">
        <f t="shared" si="13"/>
        <v>49.36940111218081</v>
      </c>
      <c r="AN33" s="23">
        <f t="shared" si="53"/>
        <v>15758.904560837675</v>
      </c>
      <c r="AO33" s="9">
        <f t="shared" si="14"/>
        <v>-5615.571957393955</v>
      </c>
      <c r="AP33" s="24">
        <f t="shared" si="54"/>
        <v>-48370.647733475533</v>
      </c>
      <c r="AR33" s="32">
        <f>IF(ISERROR(VLOOKUP(C33,'TABLES-ACTUAL &amp; FUTURE RATES'!$AL$10:$AN$81,3,FALSE)),0,VLOOKUP(C33,'TABLES-ACTUAL &amp; FUTURE RATES'!$AL$10:$AN$81,3,FALSE))</f>
        <v>0.5</v>
      </c>
      <c r="AS33" s="93">
        <f>IF(ISERROR(VLOOKUP(C33,'TABLES-ACTUAL &amp; FUTURE RATES'!$AL$10:$AM$81,2,FALSE)),0,VLOOKUP(C33,'TABLES-ACTUAL &amp; FUTURE RATES'!$AL$10:$AM$81,2,FALSE))</f>
        <v>5.7971014492753622E-4</v>
      </c>
      <c r="AT33" s="7">
        <f t="shared" si="15"/>
        <v>41.327796580346764</v>
      </c>
      <c r="AU33" s="23">
        <f t="shared" si="55"/>
        <v>15791.543295660174</v>
      </c>
      <c r="AV33" s="9">
        <f t="shared" si="16"/>
        <v>-5582.9332225714552</v>
      </c>
      <c r="AW33" s="24">
        <f t="shared" si="56"/>
        <v>-48036.311979950893</v>
      </c>
      <c r="AX33" s="225"/>
      <c r="AY33">
        <f t="shared" si="17"/>
        <v>77</v>
      </c>
      <c r="AZ33" s="9">
        <f t="shared" si="24"/>
        <v>15768.529680767231</v>
      </c>
      <c r="BA33" s="9">
        <f t="shared" si="25"/>
        <v>-98.551626035679874</v>
      </c>
      <c r="BB33" s="9">
        <f t="shared" si="57"/>
        <v>247704.39546682168</v>
      </c>
      <c r="BC33" s="9">
        <f t="shared" si="26"/>
        <v>-168.26789222389925</v>
      </c>
      <c r="BD33" s="9">
        <f t="shared" si="27"/>
        <v>15726.311187251382</v>
      </c>
      <c r="BE33" s="9">
        <f t="shared" si="28"/>
        <v>-140.77011955152921</v>
      </c>
      <c r="BF33" s="9">
        <f t="shared" si="58"/>
        <v>246724.32119895011</v>
      </c>
      <c r="BG33" s="9">
        <f t="shared" si="29"/>
        <v>-1148.3421600954607</v>
      </c>
      <c r="BH33" s="9">
        <f t="shared" si="30"/>
        <v>15726.336440358111</v>
      </c>
      <c r="BI33" s="9">
        <f t="shared" si="31"/>
        <v>-140.74486644480021</v>
      </c>
      <c r="BJ33" s="9">
        <f t="shared" si="59"/>
        <v>246676.41667769954</v>
      </c>
      <c r="BK33" s="9">
        <f t="shared" si="32"/>
        <v>-1196.2466813460342</v>
      </c>
      <c r="BL33" s="9">
        <f t="shared" si="33"/>
        <v>15758.904560837675</v>
      </c>
      <c r="BM33" s="9">
        <f t="shared" si="34"/>
        <v>-108.17674596523648</v>
      </c>
      <c r="BN33" s="9">
        <f t="shared" si="60"/>
        <v>246853.95362353744</v>
      </c>
      <c r="BO33" s="9">
        <f t="shared" si="35"/>
        <v>-1018.7097355081351</v>
      </c>
      <c r="BP33" s="9">
        <f t="shared" si="36"/>
        <v>15791.543295660174</v>
      </c>
      <c r="BQ33" s="9">
        <f t="shared" si="37"/>
        <v>-75.53801114273665</v>
      </c>
      <c r="BR33" s="9">
        <f t="shared" si="61"/>
        <v>247188.28937706206</v>
      </c>
      <c r="BS33" s="9">
        <f t="shared" si="38"/>
        <v>-684.3739819835173</v>
      </c>
      <c r="BV33" s="310">
        <f t="shared" si="18"/>
        <v>419.10738271042413</v>
      </c>
      <c r="BW33" s="311">
        <f t="shared" si="19"/>
        <v>21374.47651823163</v>
      </c>
      <c r="BX33" s="315">
        <f t="shared" si="39"/>
        <v>0.35830000000000006</v>
      </c>
      <c r="BY33" s="9">
        <f t="shared" si="20"/>
        <v>5374.5000000000009</v>
      </c>
      <c r="BZ33" s="263">
        <f t="shared" si="21"/>
        <v>20374.5</v>
      </c>
      <c r="CA33" s="299"/>
    </row>
    <row r="34" spans="3:79" ht="17" thickBot="1">
      <c r="C34" s="262">
        <f t="shared" si="22"/>
        <v>2033</v>
      </c>
      <c r="D34" s="57">
        <f t="shared" si="23"/>
        <v>78</v>
      </c>
      <c r="E34" s="31">
        <f t="shared" si="40"/>
        <v>17</v>
      </c>
      <c r="F34" s="5">
        <f t="shared" si="41"/>
        <v>21374.47651823163</v>
      </c>
      <c r="G34" s="94">
        <f>IF(ISERROR(VLOOKUP(C34,'TABLES-ACTUAL &amp; FUTURE RATES'!$V$10:$X$81,2,FALSE)),0,VLOOKUP(C34,'TABLES-ACTUAL &amp; FUTURE RATES'!$V$10:$X$81,2,FALSE))</f>
        <v>0.02</v>
      </c>
      <c r="H34" s="5">
        <f t="shared" si="2"/>
        <v>427.48953036463263</v>
      </c>
      <c r="I34" s="5">
        <f t="shared" si="3"/>
        <v>21801.966048596263</v>
      </c>
      <c r="J34" s="257">
        <f t="shared" si="42"/>
        <v>0.89473684210526316</v>
      </c>
      <c r="K34" s="254">
        <f t="shared" si="43"/>
        <v>0.10526315789473684</v>
      </c>
      <c r="L34">
        <f t="shared" si="4"/>
        <v>2033</v>
      </c>
      <c r="M34" s="418">
        <f>IF(ISERROR(VLOOKUP(C34,'TABLES-ACTUAL &amp; FUTURE RATES'!$AB$10:$AC$81,2,FALSE)),0,VLOOKUP(C34,'TABLES-ACTUAL &amp; FUTURE RATES'!$AB$10:$AC$81,2,FALSE))</f>
        <v>1.1594202898550724E-3</v>
      </c>
      <c r="N34" s="7">
        <f t="shared" si="5"/>
        <v>49.864511810852783</v>
      </c>
      <c r="O34" s="8">
        <f t="shared" si="44"/>
        <v>15916.945818613764</v>
      </c>
      <c r="P34" s="8">
        <f t="shared" si="45"/>
        <v>263789.60917765932</v>
      </c>
      <c r="Q34" s="9">
        <f t="shared" si="6"/>
        <v>-5885.0202299824996</v>
      </c>
      <c r="R34" s="9">
        <f t="shared" si="46"/>
        <v>-53236.958227949857</v>
      </c>
      <c r="T34" s="93">
        <f>IF(ISERROR(VLOOKUP(C34,'TABLES-ACTUAL &amp; FUTURE RATES'!$AD$10:$AE$81,2,FALSE)),0,VLOOKUP(C34,'TABLES-ACTUAL &amp; FUTURE RATES'!$AD$10:$AE$81,2,FALSE))</f>
        <v>0.01</v>
      </c>
      <c r="U34" s="7">
        <f t="shared" si="7"/>
        <v>174.28374910321679</v>
      </c>
      <c r="V34" s="8">
        <f t="shared" si="47"/>
        <v>15942.813429870448</v>
      </c>
      <c r="W34" s="9">
        <f t="shared" si="8"/>
        <v>-5859.152618725815</v>
      </c>
      <c r="X34" s="9">
        <f t="shared" si="48"/>
        <v>-53379.358508917117</v>
      </c>
      <c r="Z34" s="93">
        <f>IF(ISERROR(VLOOKUP(C34,'TABLES-ACTUAL &amp; FUTURE RATES'!$AF$10:$AG$81,2,FALSE)),0,VLOOKUP(C34,'TABLES-ACTUAL &amp; FUTURE RATES'!$AF$10:$AG$81,2,FALSE))</f>
        <v>1.1594202898550724E-3</v>
      </c>
      <c r="AA34" s="7">
        <f t="shared" si="9"/>
        <v>49.422122114016545</v>
      </c>
      <c r="AB34" s="8">
        <f t="shared" si="49"/>
        <v>15775.733309365398</v>
      </c>
      <c r="AC34" s="9">
        <f t="shared" si="10"/>
        <v>-6026.2327392308653</v>
      </c>
      <c r="AD34" s="9">
        <f t="shared" si="50"/>
        <v>-54526.512897293695</v>
      </c>
      <c r="AF34" s="93">
        <f>IF(ISERROR(VLOOKUP(C34,'TABLES-ACTUAL &amp; FUTURE RATES'!$AH$10:$AI$81,2,FALSE)),0,VLOOKUP(C34,'TABLES-ACTUAL &amp; FUTURE RATES'!$AH$10:$AI$81,2,FALSE))</f>
        <v>5.7971014492753622E-4</v>
      </c>
      <c r="AG34" s="7">
        <f t="shared" si="11"/>
        <v>41.26513909598161</v>
      </c>
      <c r="AH34" s="8">
        <f t="shared" si="51"/>
        <v>15767.601579454093</v>
      </c>
      <c r="AI34" s="24">
        <f t="shared" si="12"/>
        <v>-6034.3644691421705</v>
      </c>
      <c r="AJ34" s="9">
        <f t="shared" si="52"/>
        <v>-54582.549148455582</v>
      </c>
      <c r="AL34" s="93">
        <f>IF(ISERROR(VLOOKUP(C34,'TABLES-ACTUAL &amp; FUTURE RATES'!$AJ$10:$AK$81,2,FALSE)),0,VLOOKUP(C34,'TABLES-ACTUAL &amp; FUTURE RATES'!$AJ$10:$AK$81,2,FALSE))</f>
        <v>5.7971014492753622E-4</v>
      </c>
      <c r="AM34" s="7">
        <f t="shared" si="13"/>
        <v>41.350596254219369</v>
      </c>
      <c r="AN34" s="8">
        <f t="shared" si="53"/>
        <v>15800.255157091893</v>
      </c>
      <c r="AO34" s="9">
        <f t="shared" si="14"/>
        <v>-6001.71089150437</v>
      </c>
      <c r="AP34" s="9">
        <f t="shared" si="54"/>
        <v>-54372.358624979905</v>
      </c>
      <c r="AR34" s="32">
        <f>IF(ISERROR(VLOOKUP(C34,'TABLES-ACTUAL &amp; FUTURE RATES'!$AL$10:$AN$81,3,FALSE)),0,VLOOKUP(C34,'TABLES-ACTUAL &amp; FUTURE RATES'!$AL$10:$AN$81,3,FALSE))</f>
        <v>0.5</v>
      </c>
      <c r="AS34" s="93">
        <f>IF(ISERROR(VLOOKUP(C34,'TABLES-ACTUAL &amp; FUTURE RATES'!$AL$10:$AM$81,2,FALSE)),0,VLOOKUP(C34,'TABLES-ACTUAL &amp; FUTURE RATES'!$AL$10:$AM$81,2,FALSE))</f>
        <v>5.7971014492753622E-4</v>
      </c>
      <c r="AT34" s="7">
        <f t="shared" si="15"/>
        <v>41.436238701045767</v>
      </c>
      <c r="AU34" s="8">
        <f t="shared" si="55"/>
        <v>15832.97953436122</v>
      </c>
      <c r="AV34" s="9">
        <f t="shared" si="16"/>
        <v>-5968.9865142350427</v>
      </c>
      <c r="AW34" s="9">
        <f t="shared" si="56"/>
        <v>-54005.298494185932</v>
      </c>
      <c r="AX34" s="225"/>
      <c r="AY34">
        <f t="shared" si="17"/>
        <v>78</v>
      </c>
      <c r="AZ34" s="9">
        <f t="shared" si="24"/>
        <v>15942.813429870448</v>
      </c>
      <c r="BA34" s="9">
        <f t="shared" si="25"/>
        <v>25.86761125668454</v>
      </c>
      <c r="BB34" s="9">
        <f t="shared" si="57"/>
        <v>263647.20889669214</v>
      </c>
      <c r="BC34" s="9">
        <f t="shared" si="26"/>
        <v>-142.40028096718015</v>
      </c>
      <c r="BD34" s="9">
        <f t="shared" si="27"/>
        <v>15775.733309365398</v>
      </c>
      <c r="BE34" s="9">
        <f t="shared" si="28"/>
        <v>-141.21250924836568</v>
      </c>
      <c r="BF34" s="9">
        <f t="shared" si="58"/>
        <v>262500.05450831552</v>
      </c>
      <c r="BG34" s="9">
        <f t="shared" si="29"/>
        <v>-1289.5546693438082</v>
      </c>
      <c r="BH34" s="9">
        <f t="shared" si="30"/>
        <v>15767.601579454093</v>
      </c>
      <c r="BI34" s="9">
        <f t="shared" si="31"/>
        <v>-149.34423915967091</v>
      </c>
      <c r="BJ34" s="9">
        <f t="shared" si="59"/>
        <v>262444.01825715363</v>
      </c>
      <c r="BK34" s="9">
        <f t="shared" si="32"/>
        <v>-1345.590920505696</v>
      </c>
      <c r="BL34" s="9">
        <f t="shared" si="33"/>
        <v>15800.255157091893</v>
      </c>
      <c r="BM34" s="9">
        <f t="shared" si="34"/>
        <v>-116.69066152187042</v>
      </c>
      <c r="BN34" s="9">
        <f t="shared" si="60"/>
        <v>262654.20878062933</v>
      </c>
      <c r="BO34" s="9">
        <f t="shared" si="35"/>
        <v>-1135.4003970299964</v>
      </c>
      <c r="BP34" s="9">
        <f t="shared" si="36"/>
        <v>15832.97953436122</v>
      </c>
      <c r="BQ34" s="9">
        <f t="shared" si="37"/>
        <v>-83.966284252543119</v>
      </c>
      <c r="BR34" s="9">
        <f t="shared" si="61"/>
        <v>263021.26891142328</v>
      </c>
      <c r="BS34" s="9">
        <f t="shared" si="38"/>
        <v>-768.34026623604586</v>
      </c>
      <c r="BV34" s="310">
        <f t="shared" si="18"/>
        <v>427.48953036463263</v>
      </c>
      <c r="BW34" s="311">
        <f t="shared" si="19"/>
        <v>21801.966048596263</v>
      </c>
      <c r="BX34" s="315">
        <f t="shared" si="39"/>
        <v>0.37830000000000008</v>
      </c>
      <c r="BY34" s="9">
        <f t="shared" si="20"/>
        <v>5674.5000000000009</v>
      </c>
      <c r="BZ34" s="263">
        <f t="shared" si="21"/>
        <v>20674.5</v>
      </c>
      <c r="CA34" s="299"/>
    </row>
    <row r="35" spans="3:79" ht="17" thickBot="1">
      <c r="C35" s="262">
        <f t="shared" si="22"/>
        <v>2034</v>
      </c>
      <c r="D35" s="57">
        <f t="shared" si="23"/>
        <v>79</v>
      </c>
      <c r="E35" s="31">
        <f t="shared" si="40"/>
        <v>18</v>
      </c>
      <c r="F35" s="5">
        <f t="shared" si="41"/>
        <v>21801.966048596263</v>
      </c>
      <c r="G35" s="94">
        <f>IF(ISERROR(VLOOKUP(C35,'TABLES-ACTUAL &amp; FUTURE RATES'!$V$10:$X$81,2,FALSE)),0,VLOOKUP(C35,'TABLES-ACTUAL &amp; FUTURE RATES'!$V$10:$X$81,2,FALSE))</f>
        <v>0.02</v>
      </c>
      <c r="H35" s="5">
        <f t="shared" si="2"/>
        <v>436.03932097192529</v>
      </c>
      <c r="I35" s="5">
        <f t="shared" si="3"/>
        <v>22238.005369568189</v>
      </c>
      <c r="J35" s="257">
        <f t="shared" si="42"/>
        <v>0.89473684210526316</v>
      </c>
      <c r="K35" s="254">
        <f t="shared" si="43"/>
        <v>0.10526315789473684</v>
      </c>
      <c r="L35">
        <f t="shared" si="4"/>
        <v>2034</v>
      </c>
      <c r="M35" s="418">
        <f>IF(ISERROR(VLOOKUP(C35,'TABLES-ACTUAL &amp; FUTURE RATES'!$AB$10:$AC$81,2,FALSE)),0,VLOOKUP(C35,'TABLES-ACTUAL &amp; FUTURE RATES'!$AB$10:$AC$81,2,FALSE))</f>
        <v>1.1594202898550724E-3</v>
      </c>
      <c r="N35" s="7">
        <f t="shared" si="5"/>
        <v>50.021217980693137</v>
      </c>
      <c r="O35" s="8">
        <f t="shared" si="44"/>
        <v>15966.967036594457</v>
      </c>
      <c r="P35" s="8">
        <f t="shared" si="45"/>
        <v>279756.57621425379</v>
      </c>
      <c r="Q35" s="9">
        <f t="shared" si="6"/>
        <v>-6271.0383329737324</v>
      </c>
      <c r="R35" s="9">
        <f t="shared" si="46"/>
        <v>-59507.996560923588</v>
      </c>
      <c r="T35" s="93">
        <f>IF(ISERROR(VLOOKUP(C35,'TABLES-ACTUAL &amp; FUTURE RATES'!$AD$10:$AE$81,2,FALSE)),0,VLOOKUP(C35,'TABLES-ACTUAL &amp; FUTURE RATES'!$AD$10:$AE$81,2,FALSE))</f>
        <v>0</v>
      </c>
      <c r="U35" s="7">
        <f t="shared" si="7"/>
        <v>33.563817747095676</v>
      </c>
      <c r="V35" s="8">
        <f t="shared" si="47"/>
        <v>15976.377247617544</v>
      </c>
      <c r="W35" s="9">
        <f t="shared" si="8"/>
        <v>-6261.6281219506454</v>
      </c>
      <c r="X35" s="9">
        <f t="shared" si="48"/>
        <v>-59640.986630867759</v>
      </c>
      <c r="Z35" s="93">
        <f>IF(ISERROR(VLOOKUP(C35,'TABLES-ACTUAL &amp; FUTURE RATES'!$AF$10:$AG$81,2,FALSE)),0,VLOOKUP(C35,'TABLES-ACTUAL &amp; FUTURE RATES'!$AF$10:$AG$81,2,FALSE))</f>
        <v>0</v>
      </c>
      <c r="AA35" s="7">
        <f t="shared" si="9"/>
        <v>33.212070124979782</v>
      </c>
      <c r="AB35" s="8">
        <f t="shared" si="49"/>
        <v>15808.945379490378</v>
      </c>
      <c r="AC35" s="9">
        <f t="shared" si="10"/>
        <v>-6429.0599900778107</v>
      </c>
      <c r="AD35" s="9">
        <f t="shared" si="50"/>
        <v>-60955.572887371505</v>
      </c>
      <c r="AF35" s="93">
        <f>IF(ISERROR(VLOOKUP(C35,'TABLES-ACTUAL &amp; FUTURE RATES'!$AH$10:$AI$81,2,FALSE)),0,VLOOKUP(C35,'TABLES-ACTUAL &amp; FUTURE RATES'!$AH$10:$AI$81,2,FALSE))</f>
        <v>5.7971014492753622E-4</v>
      </c>
      <c r="AG35" s="7">
        <f t="shared" si="11"/>
        <v>41.373416806500444</v>
      </c>
      <c r="AH35" s="8">
        <f t="shared" si="51"/>
        <v>15808.974996260593</v>
      </c>
      <c r="AI35" s="24">
        <f t="shared" si="12"/>
        <v>-6429.0303733075962</v>
      </c>
      <c r="AJ35" s="9">
        <f t="shared" si="52"/>
        <v>-61011.579521763182</v>
      </c>
      <c r="AL35" s="93">
        <f>IF(ISERROR(VLOOKUP(C35,'TABLES-ACTUAL &amp; FUTURE RATES'!$AJ$10:$AK$81,2,FALSE)),0,VLOOKUP(C35,'TABLES-ACTUAL &amp; FUTURE RATES'!$AJ$10:$AK$81,2,FALSE))</f>
        <v>5.7971014492753622E-4</v>
      </c>
      <c r="AM35" s="7">
        <f t="shared" si="13"/>
        <v>41.45909820014959</v>
      </c>
      <c r="AN35" s="8">
        <f t="shared" si="53"/>
        <v>15841.714255292043</v>
      </c>
      <c r="AO35" s="9">
        <f t="shared" si="14"/>
        <v>-6396.2911142761459</v>
      </c>
      <c r="AP35" s="9">
        <f t="shared" si="54"/>
        <v>-60768.649739256049</v>
      </c>
      <c r="AR35" s="32">
        <f>IF(ISERROR(VLOOKUP(C35,'TABLES-ACTUAL &amp; FUTURE RATES'!$AL$10:$AN$81,3,FALSE)),0,VLOOKUP(C35,'TABLES-ACTUAL &amp; FUTURE RATES'!$AL$10:$AN$81,3,FALSE))</f>
        <v>0.5</v>
      </c>
      <c r="AS35" s="93">
        <f>IF(ISERROR(VLOOKUP(C35,'TABLES-ACTUAL &amp; FUTURE RATES'!$AL$10:$AM$81,2,FALSE)),0,VLOOKUP(C35,'TABLES-ACTUAL &amp; FUTURE RATES'!$AL$10:$AM$81,2,FALSE))</f>
        <v>5.7971014492753622E-4</v>
      </c>
      <c r="AT35" s="7">
        <f t="shared" si="15"/>
        <v>41.544965368575589</v>
      </c>
      <c r="AU35" s="8">
        <f t="shared" si="55"/>
        <v>15874.524499729796</v>
      </c>
      <c r="AV35" s="9">
        <f t="shared" si="16"/>
        <v>-6363.4808698383931</v>
      </c>
      <c r="AW35" s="9">
        <f t="shared" si="56"/>
        <v>-60368.779364024325</v>
      </c>
      <c r="AX35" s="225"/>
      <c r="AY35">
        <f t="shared" si="17"/>
        <v>79</v>
      </c>
      <c r="AZ35" s="9">
        <f t="shared" si="24"/>
        <v>15976.377247617544</v>
      </c>
      <c r="BA35" s="9">
        <f t="shared" si="25"/>
        <v>9.4102110230869584</v>
      </c>
      <c r="BB35" s="9">
        <f t="shared" si="57"/>
        <v>279623.58614430967</v>
      </c>
      <c r="BC35" s="9">
        <f t="shared" si="26"/>
        <v>-132.99006994412048</v>
      </c>
      <c r="BD35" s="9">
        <f t="shared" si="27"/>
        <v>15808.945379490378</v>
      </c>
      <c r="BE35" s="9">
        <f t="shared" si="28"/>
        <v>-158.02165710407826</v>
      </c>
      <c r="BF35" s="9">
        <f t="shared" si="58"/>
        <v>278308.9998878059</v>
      </c>
      <c r="BG35" s="9">
        <f t="shared" si="29"/>
        <v>-1447.5763264478883</v>
      </c>
      <c r="BH35" s="9">
        <f t="shared" si="30"/>
        <v>15808.974996260593</v>
      </c>
      <c r="BI35" s="9">
        <f t="shared" si="31"/>
        <v>-157.99204033386377</v>
      </c>
      <c r="BJ35" s="9">
        <f t="shared" si="59"/>
        <v>278252.99325341423</v>
      </c>
      <c r="BK35" s="9">
        <f t="shared" si="32"/>
        <v>-1503.5829608395579</v>
      </c>
      <c r="BL35" s="9">
        <f t="shared" si="33"/>
        <v>15841.714255292043</v>
      </c>
      <c r="BM35" s="9">
        <f t="shared" si="34"/>
        <v>-125.2527813024135</v>
      </c>
      <c r="BN35" s="9">
        <f t="shared" si="60"/>
        <v>278495.92303592135</v>
      </c>
      <c r="BO35" s="9">
        <f t="shared" si="35"/>
        <v>-1260.6531783324317</v>
      </c>
      <c r="BP35" s="9">
        <f t="shared" si="36"/>
        <v>15874.524499729796</v>
      </c>
      <c r="BQ35" s="9">
        <f t="shared" si="37"/>
        <v>-92.442536864660724</v>
      </c>
      <c r="BR35" s="9">
        <f t="shared" si="61"/>
        <v>278895.79341115308</v>
      </c>
      <c r="BS35" s="9">
        <f t="shared" si="38"/>
        <v>-860.78280310070841</v>
      </c>
      <c r="BV35" s="310">
        <f t="shared" si="18"/>
        <v>436.03932097192529</v>
      </c>
      <c r="BW35" s="311">
        <f t="shared" si="19"/>
        <v>22238.005369568189</v>
      </c>
      <c r="BX35" s="315">
        <f t="shared" si="39"/>
        <v>0.3983000000000001</v>
      </c>
      <c r="BY35" s="9">
        <f t="shared" si="20"/>
        <v>5974.5000000000018</v>
      </c>
      <c r="BZ35" s="263">
        <f t="shared" si="21"/>
        <v>20974.5</v>
      </c>
      <c r="CA35" s="299"/>
    </row>
    <row r="36" spans="3:79" ht="17" thickBot="1">
      <c r="C36" s="262">
        <f t="shared" si="22"/>
        <v>2035</v>
      </c>
      <c r="D36" s="57">
        <f t="shared" si="23"/>
        <v>80</v>
      </c>
      <c r="E36" s="49">
        <f t="shared" si="40"/>
        <v>19</v>
      </c>
      <c r="F36" s="46">
        <f t="shared" si="41"/>
        <v>22238.005369568189</v>
      </c>
      <c r="G36" s="94">
        <f>IF(ISERROR(VLOOKUP(C36,'TABLES-ACTUAL &amp; FUTURE RATES'!$V$10:$X$81,2,FALSE)),0,VLOOKUP(C36,'TABLES-ACTUAL &amp; FUTURE RATES'!$V$10:$X$81,2,FALSE))</f>
        <v>0.02</v>
      </c>
      <c r="H36" s="5">
        <f t="shared" si="2"/>
        <v>444.76010739136382</v>
      </c>
      <c r="I36" s="5">
        <f t="shared" si="3"/>
        <v>22682.765476959554</v>
      </c>
      <c r="J36" s="257">
        <f t="shared" si="42"/>
        <v>0.89473684210526316</v>
      </c>
      <c r="K36" s="254">
        <f t="shared" si="43"/>
        <v>0.10526315789473684</v>
      </c>
      <c r="L36">
        <f t="shared" si="4"/>
        <v>2035</v>
      </c>
      <c r="M36" s="418">
        <f>IF(ISERROR(VLOOKUP(C36,'TABLES-ACTUAL &amp; FUTURE RATES'!$AB$10:$AC$81,2,FALSE)),0,VLOOKUP(C36,'TABLES-ACTUAL &amp; FUTURE RATES'!$AB$10:$AC$81,2,FALSE))</f>
        <v>1.1594202898550724E-3</v>
      </c>
      <c r="N36" s="7">
        <f t="shared" si="5"/>
        <v>50.178416621486775</v>
      </c>
      <c r="O36" s="47">
        <f t="shared" si="44"/>
        <v>16017.145453215944</v>
      </c>
      <c r="P36" s="8">
        <f t="shared" si="45"/>
        <v>295773.72166746971</v>
      </c>
      <c r="Q36" s="9">
        <f t="shared" si="6"/>
        <v>-6665.6200237436096</v>
      </c>
      <c r="R36" s="48">
        <f t="shared" si="46"/>
        <v>-66173.616584667194</v>
      </c>
      <c r="T36" s="93">
        <f>IF(ISERROR(VLOOKUP(C36,'TABLES-ACTUAL &amp; FUTURE RATES'!$AD$10:$AE$81,2,FALSE)),0,VLOOKUP(C36,'TABLES-ACTUAL &amp; FUTURE RATES'!$AD$10:$AE$81,2,FALSE))</f>
        <v>0</v>
      </c>
      <c r="U36" s="7">
        <f t="shared" si="7"/>
        <v>33.634478416036934</v>
      </c>
      <c r="V36" s="47">
        <f t="shared" si="47"/>
        <v>16010.011726033581</v>
      </c>
      <c r="W36" s="9">
        <f t="shared" si="8"/>
        <v>-6672.7537509259728</v>
      </c>
      <c r="X36" s="48">
        <f t="shared" si="48"/>
        <v>-66313.74038179373</v>
      </c>
      <c r="Z36" s="93">
        <f>IF(ISERROR(VLOOKUP(C36,'TABLES-ACTUAL &amp; FUTURE RATES'!$AF$10:$AG$81,2,FALSE)),0,VLOOKUP(C36,'TABLES-ACTUAL &amp; FUTURE RATES'!$AF$10:$AG$81,2,FALSE))</f>
        <v>1.1594202898550724E-3</v>
      </c>
      <c r="AA36" s="7">
        <f t="shared" si="9"/>
        <v>49.681811566361823</v>
      </c>
      <c r="AB36" s="47">
        <f t="shared" si="49"/>
        <v>15858.627191056739</v>
      </c>
      <c r="AC36" s="9">
        <f t="shared" si="10"/>
        <v>-6824.1382859028145</v>
      </c>
      <c r="AD36" s="48">
        <f t="shared" si="50"/>
        <v>-67779.711173274321</v>
      </c>
      <c r="AF36" s="93">
        <f>IF(ISERROR(VLOOKUP(C36,'TABLES-ACTUAL &amp; FUTURE RATES'!$AH$10:$AI$81,2,FALSE)),0,VLOOKUP(C36,'TABLES-ACTUAL &amp; FUTURE RATES'!$AH$10:$AI$81,2,FALSE))</f>
        <v>5.7971014492753622E-4</v>
      </c>
      <c r="AG36" s="7">
        <f t="shared" si="11"/>
        <v>41.481978632445795</v>
      </c>
      <c r="AH36" s="47">
        <f t="shared" si="51"/>
        <v>15850.456974893039</v>
      </c>
      <c r="AI36" s="24">
        <f t="shared" si="12"/>
        <v>-6832.3085020665148</v>
      </c>
      <c r="AJ36" s="48">
        <f t="shared" si="52"/>
        <v>-67843.888023829699</v>
      </c>
      <c r="AL36" s="93">
        <f>IF(ISERROR(VLOOKUP(C36,'TABLES-ACTUAL &amp; FUTURE RATES'!$AJ$10:$AK$81,2,FALSE)),0,VLOOKUP(C36,'TABLES-ACTUAL &amp; FUTURE RATES'!$AJ$10:$AK$81,2,FALSE))</f>
        <v>1.1594202898550724E-3</v>
      </c>
      <c r="AM36" s="7">
        <f t="shared" si="13"/>
        <v>49.784792320216027</v>
      </c>
      <c r="AN36" s="47">
        <f t="shared" si="53"/>
        <v>15891.499047612258</v>
      </c>
      <c r="AO36" s="9">
        <f t="shared" si="14"/>
        <v>-6791.2664293472953</v>
      </c>
      <c r="AP36" s="48">
        <f t="shared" si="54"/>
        <v>-67559.916168603348</v>
      </c>
      <c r="AR36" s="32">
        <f>IF(ISERROR(VLOOKUP(C36,'TABLES-ACTUAL &amp; FUTURE RATES'!$AL$10:$AN$81,3,FALSE)),0,VLOOKUP(C36,'TABLES-ACTUAL &amp; FUTURE RATES'!$AL$10:$AN$81,3,FALSE))</f>
        <v>0.5</v>
      </c>
      <c r="AS36" s="93">
        <f>IF(ISERROR(VLOOKUP(C36,'TABLES-ACTUAL &amp; FUTURE RATES'!$AL$10:$AM$81,2,FALSE)),0,VLOOKUP(C36,'TABLES-ACTUAL &amp; FUTURE RATES'!$AL$10:$AM$81,2,FALSE))</f>
        <v>5.7971014492753622E-4</v>
      </c>
      <c r="AT36" s="7">
        <f t="shared" si="15"/>
        <v>41.653977329573223</v>
      </c>
      <c r="AU36" s="47">
        <f t="shared" si="55"/>
        <v>15916.178477059369</v>
      </c>
      <c r="AV36" s="9">
        <f t="shared" si="16"/>
        <v>-6766.5869999001843</v>
      </c>
      <c r="AW36" s="48">
        <f t="shared" si="56"/>
        <v>-67135.366363924506</v>
      </c>
      <c r="AX36" s="225"/>
      <c r="AY36">
        <f t="shared" si="17"/>
        <v>80</v>
      </c>
      <c r="AZ36" s="9">
        <f t="shared" si="24"/>
        <v>16010.011726033581</v>
      </c>
      <c r="BA36" s="9">
        <f t="shared" si="25"/>
        <v>-7.1337271823631454</v>
      </c>
      <c r="BB36" s="9">
        <f t="shared" si="57"/>
        <v>295633.59787034325</v>
      </c>
      <c r="BC36" s="9">
        <f t="shared" si="26"/>
        <v>-140.12379712646361</v>
      </c>
      <c r="BD36" s="9">
        <f t="shared" si="27"/>
        <v>15858.627191056739</v>
      </c>
      <c r="BE36" s="9">
        <f t="shared" si="28"/>
        <v>-158.51826215920482</v>
      </c>
      <c r="BF36" s="9">
        <f t="shared" si="58"/>
        <v>294167.62707886263</v>
      </c>
      <c r="BG36" s="9">
        <f t="shared" si="29"/>
        <v>-1606.094588607084</v>
      </c>
      <c r="BH36" s="9">
        <f t="shared" si="30"/>
        <v>15850.456974893039</v>
      </c>
      <c r="BI36" s="9">
        <f t="shared" si="31"/>
        <v>-166.68847832290521</v>
      </c>
      <c r="BJ36" s="9">
        <f t="shared" si="59"/>
        <v>294103.45022830728</v>
      </c>
      <c r="BK36" s="9">
        <f t="shared" si="32"/>
        <v>-1670.2714391624322</v>
      </c>
      <c r="BL36" s="9">
        <f t="shared" si="33"/>
        <v>15891.499047612258</v>
      </c>
      <c r="BM36" s="9">
        <f t="shared" si="34"/>
        <v>-125.64640560368571</v>
      </c>
      <c r="BN36" s="9">
        <f t="shared" si="60"/>
        <v>294387.4220835336</v>
      </c>
      <c r="BO36" s="9">
        <f t="shared" si="35"/>
        <v>-1386.2995839361101</v>
      </c>
      <c r="BP36" s="9">
        <f t="shared" si="36"/>
        <v>15916.178477059369</v>
      </c>
      <c r="BQ36" s="9">
        <f t="shared" si="37"/>
        <v>-100.96697615657467</v>
      </c>
      <c r="BR36" s="9">
        <f t="shared" si="61"/>
        <v>294811.97188821243</v>
      </c>
      <c r="BS36" s="9">
        <f t="shared" si="38"/>
        <v>-961.74977925728308</v>
      </c>
      <c r="BV36" s="310">
        <f t="shared" si="18"/>
        <v>444.76010739136382</v>
      </c>
      <c r="BW36" s="311">
        <f t="shared" si="19"/>
        <v>22682.765476959554</v>
      </c>
      <c r="BX36" s="315">
        <f t="shared" si="39"/>
        <v>0.41830000000000012</v>
      </c>
      <c r="BY36" s="9">
        <f t="shared" si="20"/>
        <v>6274.5000000000018</v>
      </c>
      <c r="BZ36" s="263">
        <f t="shared" si="21"/>
        <v>21274.5</v>
      </c>
      <c r="CA36" s="299"/>
    </row>
    <row r="37" spans="3:79" ht="17" thickBot="1">
      <c r="C37" s="262">
        <f t="shared" si="22"/>
        <v>2036</v>
      </c>
      <c r="D37" s="57">
        <f t="shared" si="23"/>
        <v>81</v>
      </c>
      <c r="E37" s="62">
        <f t="shared" si="40"/>
        <v>20</v>
      </c>
      <c r="F37" s="50">
        <f t="shared" ref="F37:F38" si="62">I36</f>
        <v>22682.765476959554</v>
      </c>
      <c r="G37" s="94">
        <f>IF(ISERROR(VLOOKUP(C37,'TABLES-ACTUAL &amp; FUTURE RATES'!$V$10:$X$81,2,FALSE)),0,VLOOKUP(C37,'TABLES-ACTUAL &amp; FUTURE RATES'!$V$10:$X$81,2,FALSE))</f>
        <v>0.02</v>
      </c>
      <c r="H37" s="5">
        <f t="shared" si="2"/>
        <v>453.65530953919108</v>
      </c>
      <c r="I37" s="5">
        <f t="shared" si="3"/>
        <v>23136.420786498744</v>
      </c>
      <c r="J37" s="257">
        <f t="shared" si="42"/>
        <v>0.89473684210526316</v>
      </c>
      <c r="K37" s="254">
        <f t="shared" si="43"/>
        <v>0.10526315789473684</v>
      </c>
      <c r="L37">
        <f t="shared" si="4"/>
        <v>2036</v>
      </c>
      <c r="M37" s="418">
        <f>IF(ISERROR(VLOOKUP(C37,'TABLES-ACTUAL &amp; FUTURE RATES'!$AB$10:$AC$81,2,FALSE)),0,VLOOKUP(C37,'TABLES-ACTUAL &amp; FUTURE RATES'!$AB$10:$AC$81,2,FALSE))</f>
        <v>1.1594202898550724E-3</v>
      </c>
      <c r="N37" s="7">
        <f t="shared" si="5"/>
        <v>50.336109280892217</v>
      </c>
      <c r="O37" s="52">
        <f t="shared" ref="O37:O38" si="63">O36+N37</f>
        <v>16067.481562496836</v>
      </c>
      <c r="P37" s="8">
        <f t="shared" si="45"/>
        <v>311841.20322996657</v>
      </c>
      <c r="Q37" s="9">
        <f t="shared" si="6"/>
        <v>-7068.9392240019079</v>
      </c>
      <c r="R37" s="53">
        <f t="shared" ref="R37:R38" si="64">R36+Q37</f>
        <v>-73242.555808669102</v>
      </c>
      <c r="S37" s="51"/>
      <c r="T37" s="93">
        <f>IF(ISERROR(VLOOKUP(C37,'TABLES-ACTUAL &amp; FUTURE RATES'!$AD$10:$AE$81,2,FALSE)),0,VLOOKUP(C37,'TABLES-ACTUAL &amp; FUTURE RATES'!$AD$10:$AE$81,2,FALSE))</f>
        <v>0</v>
      </c>
      <c r="U37" s="7">
        <f t="shared" si="7"/>
        <v>33.705287844281223</v>
      </c>
      <c r="V37" s="52">
        <f t="shared" ref="V37:V38" si="65">V36+U37</f>
        <v>16043.717013877862</v>
      </c>
      <c r="W37" s="9">
        <f t="shared" si="8"/>
        <v>-7092.7037726208819</v>
      </c>
      <c r="X37" s="53">
        <f t="shared" ref="X37:X38" si="66">X36+W37</f>
        <v>-73406.44415441461</v>
      </c>
      <c r="Y37" s="51"/>
      <c r="Z37" s="93">
        <f>IF(ISERROR(VLOOKUP(C37,'TABLES-ACTUAL &amp; FUTURE RATES'!$AF$10:$AG$81,2,FALSE)),0,VLOOKUP(C37,'TABLES-ACTUAL &amp; FUTURE RATES'!$AF$10:$AG$81,2,FALSE))</f>
        <v>0</v>
      </c>
      <c r="AA37" s="7">
        <f t="shared" si="9"/>
        <v>33.386583560119448</v>
      </c>
      <c r="AB37" s="52">
        <f t="shared" ref="AB37:AB38" si="67">AB36+AA37</f>
        <v>15892.013774616858</v>
      </c>
      <c r="AC37" s="9">
        <f t="shared" si="10"/>
        <v>-7244.4070118818854</v>
      </c>
      <c r="AD37" s="53">
        <f t="shared" ref="AD37:AD38" si="68">AD36+AC37</f>
        <v>-75024.1181851562</v>
      </c>
      <c r="AE37" s="51"/>
      <c r="AF37" s="93">
        <f>IF(ISERROR(VLOOKUP(C37,'TABLES-ACTUAL &amp; FUTURE RATES'!$AH$10:$AI$81,2,FALSE)),0,VLOOKUP(C37,'TABLES-ACTUAL &amp; FUTURE RATES'!$AH$10:$AI$81,2,FALSE))</f>
        <v>5.7971014492753622E-4</v>
      </c>
      <c r="AG37" s="7">
        <f t="shared" si="11"/>
        <v>41.590825319322697</v>
      </c>
      <c r="AH37" s="52">
        <f t="shared" ref="AH37:AH38" si="69">AH36+AG37</f>
        <v>15892.047800212362</v>
      </c>
      <c r="AI37" s="24">
        <f t="shared" si="12"/>
        <v>-7244.372986286382</v>
      </c>
      <c r="AJ37" s="53">
        <f t="shared" ref="AJ37:AJ38" si="70">AJ36+AI37</f>
        <v>-75088.261010116083</v>
      </c>
      <c r="AK37" s="51"/>
      <c r="AL37" s="93">
        <f>IF(ISERROR(VLOOKUP(C37,'TABLES-ACTUAL &amp; FUTURE RATES'!$AJ$10:$AK$81,2,FALSE)),0,VLOOKUP(C37,'TABLES-ACTUAL &amp; FUTURE RATES'!$AJ$10:$AK$81,2,FALSE))</f>
        <v>5.7971014492753622E-4</v>
      </c>
      <c r="AM37" s="7">
        <f t="shared" si="13"/>
        <v>41.698517714558477</v>
      </c>
      <c r="AN37" s="52">
        <f t="shared" ref="AN37:AN38" si="71">AN36+AM37</f>
        <v>15933.197565326816</v>
      </c>
      <c r="AO37" s="9">
        <f t="shared" si="14"/>
        <v>-7203.2232211719274</v>
      </c>
      <c r="AP37" s="53">
        <f t="shared" ref="AP37:AP38" si="72">AP36+AO37</f>
        <v>-74763.139389775271</v>
      </c>
      <c r="AQ37" s="51"/>
      <c r="AR37" s="32">
        <f>IF(ISERROR(VLOOKUP(C37,'TABLES-ACTUAL &amp; FUTURE RATES'!$AL$10:$AN$81,3,FALSE)),0,VLOOKUP(C37,'TABLES-ACTUAL &amp; FUTURE RATES'!$AL$10:$AN$81,3,FALSE))</f>
        <v>0.5</v>
      </c>
      <c r="AS37" s="93">
        <f>IF(ISERROR(VLOOKUP(C37,'TABLES-ACTUAL &amp; FUTURE RATES'!$AL$10:$AM$81,2,FALSE)),0,VLOOKUP(C37,'TABLES-ACTUAL &amp; FUTURE RATES'!$AL$10:$AM$81,2,FALSE))</f>
        <v>5.7971014492753622E-4</v>
      </c>
      <c r="AT37" s="7">
        <f t="shared" si="15"/>
        <v>41.763275332634805</v>
      </c>
      <c r="AU37" s="52">
        <f t="shared" ref="AU37:AU38" si="73">AU36+AT37</f>
        <v>15957.941752392004</v>
      </c>
      <c r="AV37" s="9">
        <f t="shared" si="16"/>
        <v>-7178.4790341067401</v>
      </c>
      <c r="AW37" s="54">
        <f t="shared" ref="AW37:AW38" si="74">AW36+AV37</f>
        <v>-74313.845398031248</v>
      </c>
      <c r="AX37" s="225"/>
      <c r="AY37">
        <f t="shared" si="17"/>
        <v>81</v>
      </c>
      <c r="AZ37" s="9">
        <f t="shared" si="24"/>
        <v>16043.717013877862</v>
      </c>
      <c r="BA37" s="9">
        <f t="shared" si="25"/>
        <v>-23.764548618974004</v>
      </c>
      <c r="BB37" s="9">
        <f t="shared" si="57"/>
        <v>311677.31488422112</v>
      </c>
      <c r="BC37" s="9">
        <f t="shared" si="26"/>
        <v>-163.88834574545035</v>
      </c>
      <c r="BD37" s="9">
        <f t="shared" si="27"/>
        <v>15892.013774616858</v>
      </c>
      <c r="BE37" s="9">
        <f t="shared" si="28"/>
        <v>-175.46778787997755</v>
      </c>
      <c r="BF37" s="9">
        <f t="shared" si="58"/>
        <v>310059.6408534795</v>
      </c>
      <c r="BG37" s="9">
        <f t="shared" si="29"/>
        <v>-1781.5623764870688</v>
      </c>
      <c r="BH37" s="9">
        <f t="shared" si="30"/>
        <v>15892.047800212362</v>
      </c>
      <c r="BI37" s="9">
        <f t="shared" si="31"/>
        <v>-175.43376228447414</v>
      </c>
      <c r="BJ37" s="9">
        <f t="shared" si="59"/>
        <v>309995.49802851962</v>
      </c>
      <c r="BK37" s="9">
        <f t="shared" si="32"/>
        <v>-1845.7052014469518</v>
      </c>
      <c r="BL37" s="9">
        <f t="shared" si="33"/>
        <v>15933.197565326816</v>
      </c>
      <c r="BM37" s="9">
        <f t="shared" si="34"/>
        <v>-134.28399717001957</v>
      </c>
      <c r="BN37" s="9">
        <f t="shared" si="60"/>
        <v>310320.61964886042</v>
      </c>
      <c r="BO37" s="9">
        <f t="shared" si="35"/>
        <v>-1520.5835811061552</v>
      </c>
      <c r="BP37" s="9">
        <f t="shared" si="36"/>
        <v>15957.941752392004</v>
      </c>
      <c r="BQ37" s="9">
        <f t="shared" si="37"/>
        <v>-109.53981010483221</v>
      </c>
      <c r="BR37" s="9">
        <f t="shared" si="61"/>
        <v>310769.91364060441</v>
      </c>
      <c r="BS37" s="9">
        <f t="shared" si="38"/>
        <v>-1071.2895893621608</v>
      </c>
      <c r="BV37" s="310">
        <f t="shared" si="18"/>
        <v>453.65530953919108</v>
      </c>
      <c r="BW37" s="311">
        <f t="shared" si="19"/>
        <v>23136.420786498744</v>
      </c>
      <c r="BX37" s="315">
        <f t="shared" si="39"/>
        <v>0.43830000000000013</v>
      </c>
      <c r="BY37" s="9">
        <f t="shared" si="20"/>
        <v>6574.5000000000018</v>
      </c>
      <c r="BZ37" s="263">
        <f t="shared" si="21"/>
        <v>21574.5</v>
      </c>
      <c r="CA37" s="299"/>
    </row>
    <row r="38" spans="3:79" ht="17" thickBot="1">
      <c r="C38" s="262">
        <f t="shared" si="22"/>
        <v>2037</v>
      </c>
      <c r="D38" s="57">
        <f t="shared" si="23"/>
        <v>82</v>
      </c>
      <c r="E38" s="63">
        <f t="shared" si="40"/>
        <v>21</v>
      </c>
      <c r="F38" s="10">
        <f t="shared" si="62"/>
        <v>23136.420786498744</v>
      </c>
      <c r="G38" s="94">
        <f>IF(ISERROR(VLOOKUP(C38,'TABLES-ACTUAL &amp; FUTURE RATES'!$V$10:$X$81,2,FALSE)),0,VLOOKUP(C38,'TABLES-ACTUAL &amp; FUTURE RATES'!$V$10:$X$81,2,FALSE))</f>
        <v>0.02</v>
      </c>
      <c r="H38" s="5">
        <f t="shared" si="2"/>
        <v>462.72841572997487</v>
      </c>
      <c r="I38" s="5">
        <f t="shared" si="3"/>
        <v>23599.14920222872</v>
      </c>
      <c r="J38" s="257">
        <f t="shared" si="42"/>
        <v>0.89473684210526316</v>
      </c>
      <c r="K38" s="254">
        <f t="shared" si="43"/>
        <v>0.10526315789473684</v>
      </c>
      <c r="L38">
        <f t="shared" si="4"/>
        <v>2037</v>
      </c>
      <c r="M38" s="418">
        <f>IF(ISERROR(VLOOKUP(C38,'TABLES-ACTUAL &amp; FUTURE RATES'!$AB$10:$AC$81,2,FALSE)),0,VLOOKUP(C38,'TABLES-ACTUAL &amp; FUTURE RATES'!$AB$10:$AC$81,2,FALSE))</f>
        <v>1.1594202898550724E-3</v>
      </c>
      <c r="N38" s="7">
        <f t="shared" si="5"/>
        <v>50.494297511431697</v>
      </c>
      <c r="O38" s="23">
        <f t="shared" si="63"/>
        <v>16117.975860008268</v>
      </c>
      <c r="P38" s="8">
        <f t="shared" si="45"/>
        <v>327959.17908997484</v>
      </c>
      <c r="Q38" s="9">
        <f t="shared" si="6"/>
        <v>-7481.1733422204525</v>
      </c>
      <c r="R38" s="24">
        <f t="shared" si="64"/>
        <v>-80723.729150889558</v>
      </c>
      <c r="T38" s="93">
        <f>IF(ISERROR(VLOOKUP(C38,'TABLES-ACTUAL &amp; FUTURE RATES'!$AD$10:$AE$81,2,FALSE)),0,VLOOKUP(C38,'TABLES-ACTUAL &amp; FUTURE RATES'!$AD$10:$AE$81,2,FALSE))</f>
        <v>0</v>
      </c>
      <c r="U38" s="7">
        <f t="shared" si="7"/>
        <v>33.776246345006022</v>
      </c>
      <c r="V38" s="23">
        <f t="shared" si="65"/>
        <v>16077.493260222867</v>
      </c>
      <c r="W38" s="9">
        <f t="shared" si="8"/>
        <v>-7521.6559420058529</v>
      </c>
      <c r="X38" s="24">
        <f t="shared" si="66"/>
        <v>-80928.100096420458</v>
      </c>
      <c r="Z38" s="93">
        <f>IF(ISERROR(VLOOKUP(C38,'TABLES-ACTUAL &amp; FUTURE RATES'!$AF$10:$AG$81,2,FALSE)),0,VLOOKUP(C38,'TABLES-ACTUAL &amp; FUTURE RATES'!$AF$10:$AG$81,2,FALSE))</f>
        <v>1.1594202898550724E-3</v>
      </c>
      <c r="AA38" s="7">
        <f t="shared" si="9"/>
        <v>49.942865561724979</v>
      </c>
      <c r="AB38" s="23">
        <f t="shared" si="67"/>
        <v>15941.956640178583</v>
      </c>
      <c r="AC38" s="9">
        <f t="shared" si="10"/>
        <v>-7657.192562050137</v>
      </c>
      <c r="AD38" s="24">
        <f t="shared" si="68"/>
        <v>-82681.310747206342</v>
      </c>
      <c r="AF38" s="93">
        <f>IF(ISERROR(VLOOKUP(C38,'TABLES-ACTUAL &amp; FUTURE RATES'!$AH$10:$AI$81,2,FALSE)),0,VLOOKUP(C38,'TABLES-ACTUAL &amp; FUTURE RATES'!$AH$10:$AI$81,2,FALSE))</f>
        <v>5.7971014492753622E-4</v>
      </c>
      <c r="AG38" s="7">
        <f t="shared" si="11"/>
        <v>41.699957614592314</v>
      </c>
      <c r="AH38" s="23">
        <f t="shared" si="69"/>
        <v>15933.747757826954</v>
      </c>
      <c r="AI38" s="24">
        <f t="shared" si="12"/>
        <v>-7665.4014444017666</v>
      </c>
      <c r="AJ38" s="24">
        <f t="shared" si="70"/>
        <v>-82753.662454517849</v>
      </c>
      <c r="AL38" s="93">
        <f>IF(ISERROR(VLOOKUP(C38,'TABLES-ACTUAL &amp; FUTURE RATES'!$AJ$10:$AK$81,2,FALSE)),0,VLOOKUP(C38,'TABLES-ACTUAL &amp; FUTURE RATES'!$AJ$10:$AK$81,2,FALSE))</f>
        <v>5.7971014492753622E-4</v>
      </c>
      <c r="AM38" s="7">
        <f t="shared" si="13"/>
        <v>41.807932589415898</v>
      </c>
      <c r="AN38" s="23">
        <f t="shared" si="71"/>
        <v>15975.005497916232</v>
      </c>
      <c r="AO38" s="9">
        <f t="shared" si="14"/>
        <v>-7624.1437043124879</v>
      </c>
      <c r="AP38" s="24">
        <f t="shared" si="72"/>
        <v>-82387.283094087761</v>
      </c>
      <c r="AR38" s="32">
        <f>IF(ISERROR(VLOOKUP(C38,'TABLES-ACTUAL &amp; FUTURE RATES'!$AL$10:$AN$81,3,FALSE)),0,VLOOKUP(C38,'TABLES-ACTUAL &amp; FUTURE RATES'!$AL$10:$AN$81,3,FALSE))</f>
        <v>0.5</v>
      </c>
      <c r="AS38" s="93">
        <f>IF(ISERROR(VLOOKUP(C38,'TABLES-ACTUAL &amp; FUTURE RATES'!$AL$10:$AM$81,2,FALSE)),0,VLOOKUP(C38,'TABLES-ACTUAL &amp; FUTURE RATES'!$AL$10:$AM$81,2,FALSE))</f>
        <v>5.7971014492753622E-4</v>
      </c>
      <c r="AT38" s="7">
        <f t="shared" si="15"/>
        <v>41.872860128320738</v>
      </c>
      <c r="AU38" s="23">
        <f t="shared" si="73"/>
        <v>15999.814612520324</v>
      </c>
      <c r="AV38" s="9">
        <f t="shared" si="16"/>
        <v>-7599.3345897083964</v>
      </c>
      <c r="AW38" s="24">
        <f t="shared" si="74"/>
        <v>-81913.179987739641</v>
      </c>
      <c r="AX38" s="225"/>
      <c r="AY38">
        <f t="shared" si="17"/>
        <v>82</v>
      </c>
      <c r="AZ38" s="9">
        <f t="shared" si="24"/>
        <v>16077.493260222867</v>
      </c>
      <c r="BA38" s="9">
        <f t="shared" si="25"/>
        <v>-40.482599785400453</v>
      </c>
      <c r="BB38" s="9">
        <f t="shared" si="57"/>
        <v>327754.80814444402</v>
      </c>
      <c r="BC38" s="9">
        <f t="shared" si="26"/>
        <v>-204.37094553082716</v>
      </c>
      <c r="BD38" s="9">
        <f t="shared" si="27"/>
        <v>15941.956640178583</v>
      </c>
      <c r="BE38" s="9">
        <f t="shared" si="28"/>
        <v>-176.01921982968452</v>
      </c>
      <c r="BF38" s="9">
        <f t="shared" si="58"/>
        <v>326001.59749365808</v>
      </c>
      <c r="BG38" s="9">
        <f t="shared" si="29"/>
        <v>-1957.5815963167697</v>
      </c>
      <c r="BH38" s="9">
        <f t="shared" si="30"/>
        <v>15933.747757826954</v>
      </c>
      <c r="BI38" s="9">
        <f t="shared" si="31"/>
        <v>-184.22810218131417</v>
      </c>
      <c r="BJ38" s="9">
        <f t="shared" si="59"/>
        <v>325929.24578634655</v>
      </c>
      <c r="BK38" s="9">
        <f t="shared" si="32"/>
        <v>-2029.9333036282915</v>
      </c>
      <c r="BL38" s="9">
        <f t="shared" si="33"/>
        <v>15975.005497916232</v>
      </c>
      <c r="BM38" s="9">
        <f t="shared" si="34"/>
        <v>-142.97036209203543</v>
      </c>
      <c r="BN38" s="9">
        <f t="shared" si="60"/>
        <v>326295.62514677667</v>
      </c>
      <c r="BO38" s="9">
        <f t="shared" si="35"/>
        <v>-1663.5539431981742</v>
      </c>
      <c r="BP38" s="9">
        <f t="shared" si="36"/>
        <v>15999.814612520324</v>
      </c>
      <c r="BQ38" s="9">
        <f t="shared" si="37"/>
        <v>-118.16124748794391</v>
      </c>
      <c r="BR38" s="9">
        <f t="shared" si="61"/>
        <v>326769.72825312475</v>
      </c>
      <c r="BS38" s="9">
        <f t="shared" si="38"/>
        <v>-1189.4508368500974</v>
      </c>
      <c r="BV38" s="310">
        <f t="shared" si="18"/>
        <v>462.72841572997487</v>
      </c>
      <c r="BW38" s="311">
        <f t="shared" si="19"/>
        <v>23599.14920222872</v>
      </c>
      <c r="BX38" s="315">
        <f t="shared" si="39"/>
        <v>0.45830000000000015</v>
      </c>
      <c r="BY38" s="9">
        <f t="shared" si="20"/>
        <v>6874.5000000000027</v>
      </c>
      <c r="BZ38" s="263">
        <f t="shared" si="21"/>
        <v>21874.500000000004</v>
      </c>
      <c r="CA38" s="299"/>
    </row>
    <row r="39" spans="3:79" ht="17" thickBot="1">
      <c r="C39" s="262">
        <f t="shared" si="22"/>
        <v>2038</v>
      </c>
      <c r="D39" s="57">
        <f t="shared" si="23"/>
        <v>83</v>
      </c>
      <c r="E39" s="31">
        <f t="shared" si="40"/>
        <v>22</v>
      </c>
      <c r="F39" s="5">
        <f t="shared" ref="F39:F44" si="75">I38</f>
        <v>23599.14920222872</v>
      </c>
      <c r="G39" s="94">
        <f>IF(ISERROR(VLOOKUP(C39,'TABLES-ACTUAL &amp; FUTURE RATES'!$V$10:$X$81,2,FALSE)),0,VLOOKUP(C39,'TABLES-ACTUAL &amp; FUTURE RATES'!$V$10:$X$81,2,FALSE))</f>
        <v>0.02</v>
      </c>
      <c r="H39" s="5">
        <f t="shared" si="2"/>
        <v>471.98298404457444</v>
      </c>
      <c r="I39" s="5">
        <f t="shared" si="3"/>
        <v>24071.132186273295</v>
      </c>
      <c r="J39" s="257">
        <f t="shared" si="42"/>
        <v>0.89473684210526316</v>
      </c>
      <c r="K39" s="254">
        <f t="shared" si="43"/>
        <v>0.10526315789473684</v>
      </c>
      <c r="L39">
        <f t="shared" si="4"/>
        <v>2038</v>
      </c>
      <c r="M39" s="418">
        <f>IF(ISERROR(VLOOKUP(C39,'TABLES-ACTUAL &amp; FUTURE RATES'!$AB$10:$AC$81,2,FALSE)),0,VLOOKUP(C39,'TABLES-ACTUAL &amp; FUTURE RATES'!$AB$10:$AC$81,2,FALSE))</f>
        <v>1.1594202898550724E-3</v>
      </c>
      <c r="N39" s="7">
        <f t="shared" si="5"/>
        <v>50.652982870506534</v>
      </c>
      <c r="O39" s="8">
        <f t="shared" ref="O39:O44" si="76">O38+N39</f>
        <v>16168.628842878774</v>
      </c>
      <c r="P39" s="8">
        <f t="shared" si="45"/>
        <v>344127.80793285364</v>
      </c>
      <c r="Q39" s="9">
        <f t="shared" si="6"/>
        <v>-7902.5033433945209</v>
      </c>
      <c r="R39" s="9">
        <f t="shared" ref="R39:R44" si="77">R38+Q39</f>
        <v>-88626.232494284079</v>
      </c>
      <c r="T39" s="93">
        <f>IF(ISERROR(VLOOKUP(C39,'TABLES-ACTUAL &amp; FUTURE RATES'!$AD$10:$AE$81,2,FALSE)),0,VLOOKUP(C39,'TABLES-ACTUAL &amp; FUTURE RATES'!$AD$10:$AE$81,2,FALSE))</f>
        <v>0</v>
      </c>
      <c r="U39" s="7">
        <f t="shared" si="7"/>
        <v>33.84735423204814</v>
      </c>
      <c r="V39" s="8">
        <f t="shared" ref="V39:V44" si="78">V38+U39</f>
        <v>16111.340614454915</v>
      </c>
      <c r="W39" s="9">
        <f t="shared" si="8"/>
        <v>-7959.7915718183795</v>
      </c>
      <c r="X39" s="9">
        <f t="shared" ref="X39:X44" si="79">X38+W39</f>
        <v>-88887.891668238837</v>
      </c>
      <c r="Z39" s="93">
        <f>IF(ISERROR(VLOOKUP(C39,'TABLES-ACTUAL &amp; FUTURE RATES'!$AF$10:$AG$81,2,FALSE)),0,VLOOKUP(C39,'TABLES-ACTUAL &amp; FUTURE RATES'!$AF$10:$AG$81,2,FALSE))</f>
        <v>0</v>
      </c>
      <c r="AA39" s="7">
        <f t="shared" si="9"/>
        <v>33.562013979323332</v>
      </c>
      <c r="AB39" s="8">
        <f t="shared" ref="AB39:AB44" si="80">AB38+AA39</f>
        <v>15975.518654157906</v>
      </c>
      <c r="AC39" s="9">
        <f t="shared" si="10"/>
        <v>-8095.6135321153888</v>
      </c>
      <c r="AD39" s="9">
        <f t="shared" ref="AD39:AD44" si="81">AD38+AC39</f>
        <v>-90776.924279321727</v>
      </c>
      <c r="AF39" s="93">
        <f>IF(ISERROR(VLOOKUP(C39,'TABLES-ACTUAL &amp; FUTURE RATES'!$AH$10:$AI$81,2,FALSE)),0,VLOOKUP(C39,'TABLES-ACTUAL &amp; FUTURE RATES'!$AH$10:$AI$81,2,FALSE))</f>
        <v>5.7971014492753622E-4</v>
      </c>
      <c r="AG39" s="7">
        <f t="shared" si="11"/>
        <v>41.809376267677138</v>
      </c>
      <c r="AH39" s="8">
        <f t="shared" ref="AH39:AH44" si="82">AH38+AG39</f>
        <v>15975.55713409463</v>
      </c>
      <c r="AI39" s="24">
        <f t="shared" si="12"/>
        <v>-8095.5750521786649</v>
      </c>
      <c r="AJ39" s="9">
        <f t="shared" ref="AJ39:AJ44" si="83">AJ38+AI39</f>
        <v>-90849.237506696518</v>
      </c>
      <c r="AL39" s="93">
        <f>IF(ISERROR(VLOOKUP(C39,'TABLES-ACTUAL &amp; FUTURE RATES'!$AJ$10:$AK$81,2,FALSE)),0,VLOOKUP(C39,'TABLES-ACTUAL &amp; FUTURE RATES'!$AJ$10:$AK$81,2,FALSE))</f>
        <v>1.1594202898550724E-3</v>
      </c>
      <c r="AM39" s="7">
        <f t="shared" si="13"/>
        <v>50.20367860519822</v>
      </c>
      <c r="AN39" s="8">
        <f t="shared" ref="AN39:AN44" si="84">AN38+AM39</f>
        <v>16025.20917652143</v>
      </c>
      <c r="AO39" s="9">
        <f t="shared" si="14"/>
        <v>-8045.9230097518648</v>
      </c>
      <c r="AP39" s="9">
        <f t="shared" ref="AP39:AP44" si="85">AP38+AO39</f>
        <v>-90433.20610383962</v>
      </c>
      <c r="AR39" s="32">
        <f>IF(ISERROR(VLOOKUP(C39,'TABLES-ACTUAL &amp; FUTURE RATES'!$AL$10:$AN$81,3,FALSE)),0,VLOOKUP(C39,'TABLES-ACTUAL &amp; FUTURE RATES'!$AL$10:$AN$81,3,FALSE))</f>
        <v>0.5</v>
      </c>
      <c r="AS39" s="93">
        <f>IF(ISERROR(VLOOKUP(C39,'TABLES-ACTUAL &amp; FUTURE RATES'!$AL$10:$AM$81,2,FALSE)),0,VLOOKUP(C39,'TABLES-ACTUAL &amp; FUTURE RATES'!$AL$10:$AM$81,2,FALSE))</f>
        <v>5.7971014492753622E-4</v>
      </c>
      <c r="AT39" s="7">
        <f t="shared" si="15"/>
        <v>41.982732469160879</v>
      </c>
      <c r="AU39" s="8">
        <f t="shared" ref="AU39:AU44" si="86">AU38+AT39</f>
        <v>16041.797344989485</v>
      </c>
      <c r="AV39" s="9">
        <f t="shared" si="16"/>
        <v>-8029.3348412838095</v>
      </c>
      <c r="AW39" s="9">
        <f t="shared" ref="AW39:AW44" si="87">AW38+AV39</f>
        <v>-89942.51482902345</v>
      </c>
      <c r="AX39" s="225"/>
      <c r="AY39">
        <f t="shared" si="17"/>
        <v>83</v>
      </c>
      <c r="AZ39" s="9">
        <f t="shared" si="24"/>
        <v>16111.340614454915</v>
      </c>
      <c r="BA39" s="9">
        <f t="shared" si="25"/>
        <v>-57.288228423858527</v>
      </c>
      <c r="BB39" s="9">
        <f t="shared" si="57"/>
        <v>343866.14875889895</v>
      </c>
      <c r="BC39" s="9">
        <f t="shared" si="26"/>
        <v>-261.65917395468568</v>
      </c>
      <c r="BD39" s="9">
        <f t="shared" si="27"/>
        <v>15975.518654157906</v>
      </c>
      <c r="BE39" s="9">
        <f t="shared" si="28"/>
        <v>-193.11018872086788</v>
      </c>
      <c r="BF39" s="9">
        <f t="shared" si="58"/>
        <v>341977.11614781601</v>
      </c>
      <c r="BG39" s="9">
        <f t="shared" si="29"/>
        <v>-2150.691785037634</v>
      </c>
      <c r="BH39" s="9">
        <f t="shared" si="30"/>
        <v>15975.55713409463</v>
      </c>
      <c r="BI39" s="9">
        <f t="shared" si="31"/>
        <v>-193.07170878414399</v>
      </c>
      <c r="BJ39" s="9">
        <f t="shared" si="59"/>
        <v>341904.8029204412</v>
      </c>
      <c r="BK39" s="9">
        <f t="shared" si="32"/>
        <v>-2223.0050124124391</v>
      </c>
      <c r="BL39" s="9">
        <f t="shared" si="33"/>
        <v>16025.20917652143</v>
      </c>
      <c r="BM39" s="9">
        <f t="shared" si="34"/>
        <v>-143.41966635734389</v>
      </c>
      <c r="BN39" s="9">
        <f t="shared" si="60"/>
        <v>342320.83432329813</v>
      </c>
      <c r="BO39" s="9">
        <f t="shared" si="35"/>
        <v>-1806.9736095555127</v>
      </c>
      <c r="BP39" s="9">
        <f t="shared" si="36"/>
        <v>16041.797344989485</v>
      </c>
      <c r="BQ39" s="9">
        <f t="shared" si="37"/>
        <v>-126.83149788928858</v>
      </c>
      <c r="BR39" s="9">
        <f t="shared" si="61"/>
        <v>342811.52559811424</v>
      </c>
      <c r="BS39" s="9">
        <f t="shared" si="38"/>
        <v>-1316.2823347394005</v>
      </c>
      <c r="BV39" s="310">
        <f t="shared" si="18"/>
        <v>471.98298404457444</v>
      </c>
      <c r="BW39" s="311">
        <f t="shared" si="19"/>
        <v>24071.132186273295</v>
      </c>
      <c r="BX39" s="315">
        <f t="shared" si="39"/>
        <v>0.47830000000000017</v>
      </c>
      <c r="BY39" s="9">
        <f t="shared" si="20"/>
        <v>7174.5000000000027</v>
      </c>
      <c r="BZ39" s="263">
        <f t="shared" si="21"/>
        <v>22174.500000000004</v>
      </c>
      <c r="CA39" s="299"/>
    </row>
    <row r="40" spans="3:79" ht="17" thickBot="1">
      <c r="C40" s="262">
        <f t="shared" si="22"/>
        <v>2039</v>
      </c>
      <c r="D40" s="57">
        <f t="shared" si="23"/>
        <v>84</v>
      </c>
      <c r="E40" s="31">
        <f t="shared" si="40"/>
        <v>23</v>
      </c>
      <c r="F40" s="5">
        <f t="shared" si="75"/>
        <v>24071.132186273295</v>
      </c>
      <c r="G40" s="94">
        <f>IF(ISERROR(VLOOKUP(C40,'TABLES-ACTUAL &amp; FUTURE RATES'!$V$10:$X$81,2,FALSE)),0,VLOOKUP(C40,'TABLES-ACTUAL &amp; FUTURE RATES'!$V$10:$X$81,2,FALSE))</f>
        <v>0.02</v>
      </c>
      <c r="H40" s="5">
        <f t="shared" si="2"/>
        <v>481.42264372546589</v>
      </c>
      <c r="I40" s="5">
        <f t="shared" si="3"/>
        <v>24552.55482999876</v>
      </c>
      <c r="J40" s="257">
        <f t="shared" si="42"/>
        <v>0.89473684210526316</v>
      </c>
      <c r="K40" s="254">
        <f t="shared" si="43"/>
        <v>0.10526315789473684</v>
      </c>
      <c r="L40">
        <f t="shared" si="4"/>
        <v>2039</v>
      </c>
      <c r="M40" s="418">
        <f>IF(ISERROR(VLOOKUP(C40,'TABLES-ACTUAL &amp; FUTURE RATES'!$AB$10:$AC$81,2,FALSE)),0,VLOOKUP(C40,'TABLES-ACTUAL &amp; FUTURE RATES'!$AB$10:$AC$81,2,FALSE))</f>
        <v>1.1594202898550724E-3</v>
      </c>
      <c r="N40" s="7">
        <f t="shared" si="5"/>
        <v>50.812166920412324</v>
      </c>
      <c r="O40" s="8">
        <f t="shared" si="76"/>
        <v>16219.441009799186</v>
      </c>
      <c r="P40" s="8">
        <f t="shared" si="45"/>
        <v>360347.24894265283</v>
      </c>
      <c r="Q40" s="9">
        <f t="shared" si="6"/>
        <v>-8333.1138201995745</v>
      </c>
      <c r="R40" s="9">
        <f t="shared" si="77"/>
        <v>-96959.346314483657</v>
      </c>
      <c r="T40" s="93">
        <f>IF(ISERROR(VLOOKUP(C40,'TABLES-ACTUAL &amp; FUTURE RATES'!$AD$10:$AE$81,2,FALSE)),0,VLOOKUP(C40,'TABLES-ACTUAL &amp; FUTURE RATES'!$AD$10:$AE$81,2,FALSE))</f>
        <v>0</v>
      </c>
      <c r="U40" s="7">
        <f t="shared" si="7"/>
        <v>33.918611819905081</v>
      </c>
      <c r="V40" s="8">
        <f t="shared" si="78"/>
        <v>16145.25922627482</v>
      </c>
      <c r="W40" s="9">
        <f t="shared" si="8"/>
        <v>-8407.2956037239401</v>
      </c>
      <c r="X40" s="9">
        <f t="shared" si="79"/>
        <v>-97295.187271962772</v>
      </c>
      <c r="Z40" s="93">
        <f>IF(ISERROR(VLOOKUP(C40,'TABLES-ACTUAL &amp; FUTURE RATES'!$AF$10:$AG$81,2,FALSE)),0,VLOOKUP(C40,'TABLES-ACTUAL &amp; FUTURE RATES'!$AF$10:$AG$81,2,FALSE))</f>
        <v>1.1594202898550724E-3</v>
      </c>
      <c r="AA40" s="7">
        <f t="shared" si="9"/>
        <v>50.205291270122487</v>
      </c>
      <c r="AB40" s="8">
        <f t="shared" si="80"/>
        <v>16025.723945428028</v>
      </c>
      <c r="AC40" s="9">
        <f t="shared" si="10"/>
        <v>-8526.8308845707325</v>
      </c>
      <c r="AD40" s="9">
        <f t="shared" si="81"/>
        <v>-99303.755163892463</v>
      </c>
      <c r="AF40" s="93">
        <f>IF(ISERROR(VLOOKUP(C40,'TABLES-ACTUAL &amp; FUTURE RATES'!$AH$10:$AI$81,2,FALSE)),0,VLOOKUP(C40,'TABLES-ACTUAL &amp; FUTURE RATES'!$AH$10:$AI$81,2,FALSE))</f>
        <v>5.7971014492753622E-4</v>
      </c>
      <c r="AG40" s="7">
        <f t="shared" si="11"/>
        <v>41.91908202996607</v>
      </c>
      <c r="AH40" s="8">
        <f t="shared" si="82"/>
        <v>16017.476216124596</v>
      </c>
      <c r="AI40" s="24">
        <f t="shared" si="12"/>
        <v>-8535.0786138741641</v>
      </c>
      <c r="AJ40" s="9">
        <f t="shared" si="83"/>
        <v>-99384.316120570686</v>
      </c>
      <c r="AL40" s="93">
        <f>IF(ISERROR(VLOOKUP(C40,'TABLES-ACTUAL &amp; FUTURE RATES'!$AJ$10:$AK$81,2,FALSE)),0,VLOOKUP(C40,'TABLES-ACTUAL &amp; FUTURE RATES'!$AJ$10:$AK$81,2,FALSE))</f>
        <v>5.7971014492753622E-4</v>
      </c>
      <c r="AM40" s="7">
        <f t="shared" si="13"/>
        <v>42.049366565395658</v>
      </c>
      <c r="AN40" s="8">
        <f t="shared" si="84"/>
        <v>16067.258543086826</v>
      </c>
      <c r="AO40" s="9">
        <f t="shared" si="14"/>
        <v>-8485.2962869119347</v>
      </c>
      <c r="AP40" s="9">
        <f t="shared" si="85"/>
        <v>-98918.502390751557</v>
      </c>
      <c r="AR40" s="32">
        <f>IF(ISERROR(VLOOKUP(C40,'TABLES-ACTUAL &amp; FUTURE RATES'!$AL$10:$AN$81,3,FALSE)),0,VLOOKUP(C40,'TABLES-ACTUAL &amp; FUTURE RATES'!$AL$10:$AN$81,3,FALSE))</f>
        <v>0.5</v>
      </c>
      <c r="AS40" s="93">
        <f>IF(ISERROR(VLOOKUP(C40,'TABLES-ACTUAL &amp; FUTURE RATES'!$AL$10:$AM$81,2,FALSE)),0,VLOOKUP(C40,'TABLES-ACTUAL &amp; FUTURE RATES'!$AL$10:$AM$81,2,FALSE))</f>
        <v>5.7971014492753622E-4</v>
      </c>
      <c r="AT40" s="7">
        <f t="shared" si="15"/>
        <v>42.09289310965967</v>
      </c>
      <c r="AU40" s="8">
        <f t="shared" si="86"/>
        <v>16083.890238099146</v>
      </c>
      <c r="AV40" s="9">
        <f t="shared" si="16"/>
        <v>-8468.6645918996146</v>
      </c>
      <c r="AW40" s="9">
        <f t="shared" si="87"/>
        <v>-98411.179420923057</v>
      </c>
      <c r="AX40" s="225"/>
      <c r="AY40">
        <f t="shared" si="17"/>
        <v>84</v>
      </c>
      <c r="AZ40" s="9">
        <f t="shared" si="24"/>
        <v>16145.25922627482</v>
      </c>
      <c r="BA40" s="9">
        <f t="shared" si="25"/>
        <v>-74.181783524365528</v>
      </c>
      <c r="BB40" s="9">
        <f t="shared" si="57"/>
        <v>360011.40798517375</v>
      </c>
      <c r="BC40" s="9">
        <f t="shared" si="26"/>
        <v>-335.84095747908577</v>
      </c>
      <c r="BD40" s="9">
        <f t="shared" si="27"/>
        <v>16025.723945428028</v>
      </c>
      <c r="BE40" s="9">
        <f t="shared" si="28"/>
        <v>-193.7170643711579</v>
      </c>
      <c r="BF40" s="9">
        <f t="shared" si="58"/>
        <v>358002.84009324404</v>
      </c>
      <c r="BG40" s="9">
        <f t="shared" si="29"/>
        <v>-2344.4088494087919</v>
      </c>
      <c r="BH40" s="9">
        <f t="shared" si="30"/>
        <v>16017.476216124596</v>
      </c>
      <c r="BI40" s="9">
        <f t="shared" si="31"/>
        <v>-201.9647936745896</v>
      </c>
      <c r="BJ40" s="9">
        <f t="shared" si="59"/>
        <v>357922.2791365658</v>
      </c>
      <c r="BK40" s="9">
        <f t="shared" si="32"/>
        <v>-2424.9698060870287</v>
      </c>
      <c r="BL40" s="9">
        <f t="shared" si="33"/>
        <v>16067.258543086826</v>
      </c>
      <c r="BM40" s="9">
        <f t="shared" si="34"/>
        <v>-152.18246671236011</v>
      </c>
      <c r="BN40" s="9">
        <f t="shared" si="60"/>
        <v>358388.09286638495</v>
      </c>
      <c r="BO40" s="9">
        <f t="shared" si="35"/>
        <v>-1959.1560762678855</v>
      </c>
      <c r="BP40" s="9">
        <f t="shared" si="36"/>
        <v>16083.890238099146</v>
      </c>
      <c r="BQ40" s="9">
        <f t="shared" si="37"/>
        <v>-135.55077170004006</v>
      </c>
      <c r="BR40" s="9">
        <f t="shared" si="61"/>
        <v>358895.41583621339</v>
      </c>
      <c r="BS40" s="9">
        <f t="shared" si="38"/>
        <v>-1451.8331064394442</v>
      </c>
      <c r="BV40" s="310">
        <f t="shared" si="18"/>
        <v>481.42264372546589</v>
      </c>
      <c r="BW40" s="311">
        <f t="shared" si="19"/>
        <v>24552.55482999876</v>
      </c>
      <c r="BX40" s="315">
        <f t="shared" si="39"/>
        <v>0.49830000000000019</v>
      </c>
      <c r="BY40" s="9">
        <f t="shared" si="20"/>
        <v>7474.5000000000027</v>
      </c>
      <c r="BZ40" s="263">
        <f t="shared" si="21"/>
        <v>22474.500000000004</v>
      </c>
      <c r="CA40" s="299"/>
    </row>
    <row r="41" spans="3:79" ht="17" thickBot="1">
      <c r="C41" s="262">
        <f t="shared" si="22"/>
        <v>2040</v>
      </c>
      <c r="D41" s="57">
        <f t="shared" si="23"/>
        <v>85</v>
      </c>
      <c r="E41" s="49">
        <f t="shared" si="40"/>
        <v>24</v>
      </c>
      <c r="F41" s="46">
        <f t="shared" si="75"/>
        <v>24552.55482999876</v>
      </c>
      <c r="G41" s="94">
        <f>IF(ISERROR(VLOOKUP(C41,'TABLES-ACTUAL &amp; FUTURE RATES'!$V$10:$X$81,2,FALSE)),0,VLOOKUP(C41,'TABLES-ACTUAL &amp; FUTURE RATES'!$V$10:$X$81,2,FALSE))</f>
        <v>0.02</v>
      </c>
      <c r="H41" s="5">
        <f t="shared" si="2"/>
        <v>491.05109659997521</v>
      </c>
      <c r="I41" s="5">
        <f t="shared" si="3"/>
        <v>25043.605926598735</v>
      </c>
      <c r="J41" s="257">
        <f t="shared" si="42"/>
        <v>0.89473684210526316</v>
      </c>
      <c r="K41" s="254">
        <f t="shared" si="43"/>
        <v>0.10526315789473684</v>
      </c>
      <c r="L41">
        <f t="shared" si="4"/>
        <v>2040</v>
      </c>
      <c r="M41" s="418">
        <f>IF(ISERROR(VLOOKUP(C41,'TABLES-ACTUAL &amp; FUTURE RATES'!$AB$10:$AC$81,2,FALSE)),0,VLOOKUP(C41,'TABLES-ACTUAL &amp; FUTURE RATES'!$AB$10:$AC$81,2,FALSE))</f>
        <v>1.1594202898550724E-3</v>
      </c>
      <c r="N41" s="7">
        <f t="shared" si="5"/>
        <v>50.971851228354424</v>
      </c>
      <c r="O41" s="47">
        <f t="shared" si="76"/>
        <v>16270.41286102754</v>
      </c>
      <c r="P41" s="8">
        <f t="shared" si="45"/>
        <v>376617.66180368036</v>
      </c>
      <c r="Q41" s="9">
        <f t="shared" si="6"/>
        <v>-8773.1930655711949</v>
      </c>
      <c r="R41" s="48">
        <f t="shared" si="77"/>
        <v>-105732.53938005485</v>
      </c>
      <c r="T41" s="93">
        <f>IF(ISERROR(VLOOKUP(C41,'TABLES-ACTUAL &amp; FUTURE RATES'!$AD$10:$AE$81,2,FALSE)),0,VLOOKUP(C41,'TABLES-ACTUAL &amp; FUTURE RATES'!$AD$10:$AE$81,2,FALSE))</f>
        <v>0</v>
      </c>
      <c r="U41" s="7">
        <f t="shared" si="7"/>
        <v>33.990019423736463</v>
      </c>
      <c r="V41" s="47">
        <f t="shared" si="78"/>
        <v>16179.249245698556</v>
      </c>
      <c r="W41" s="9">
        <f t="shared" si="8"/>
        <v>-8864.3566809001786</v>
      </c>
      <c r="X41" s="48">
        <f t="shared" si="79"/>
        <v>-106159.54395286295</v>
      </c>
      <c r="Z41" s="93">
        <f>IF(ISERROR(VLOOKUP(C41,'TABLES-ACTUAL &amp; FUTURE RATES'!$AF$10:$AG$81,2,FALSE)),0,VLOOKUP(C41,'TABLES-ACTUAL &amp; FUTURE RATES'!$AF$10:$AG$81,2,FALSE))</f>
        <v>0</v>
      </c>
      <c r="AA41" s="7">
        <f t="shared" si="9"/>
        <v>33.738366200901112</v>
      </c>
      <c r="AB41" s="47">
        <f t="shared" si="80"/>
        <v>16059.462311628929</v>
      </c>
      <c r="AC41" s="9">
        <f t="shared" si="10"/>
        <v>-8984.1436149698056</v>
      </c>
      <c r="AD41" s="48">
        <f t="shared" si="81"/>
        <v>-108287.89877886226</v>
      </c>
      <c r="AF41" s="93">
        <f>IF(ISERROR(VLOOKUP(C41,'TABLES-ACTUAL &amp; FUTURE RATES'!$AH$10:$AI$81,2,FALSE)),0,VLOOKUP(C41,'TABLES-ACTUAL &amp; FUTURE RATES'!$AH$10:$AI$81,2,FALSE))</f>
        <v>5.7971014492753622E-4</v>
      </c>
      <c r="AG41" s="7">
        <f t="shared" si="11"/>
        <v>42.029075654819685</v>
      </c>
      <c r="AH41" s="47">
        <f t="shared" si="82"/>
        <v>16059.505291779416</v>
      </c>
      <c r="AI41" s="24">
        <f t="shared" si="12"/>
        <v>-8984.1006348193187</v>
      </c>
      <c r="AJ41" s="48">
        <f t="shared" si="83"/>
        <v>-108368.41675539</v>
      </c>
      <c r="AL41" s="93">
        <f>IF(ISERROR(VLOOKUP(C41,'TABLES-ACTUAL &amp; FUTURE RATES'!$AJ$10:$AK$81,2,FALSE)),0,VLOOKUP(C41,'TABLES-ACTUAL &amp; FUTURE RATES'!$AJ$10:$AK$81,2,FALSE))</f>
        <v>5.7971014492753622E-4</v>
      </c>
      <c r="AM41" s="7">
        <f t="shared" si="13"/>
        <v>42.159702050510049</v>
      </c>
      <c r="AN41" s="47">
        <f t="shared" si="84"/>
        <v>16109.418245137336</v>
      </c>
      <c r="AO41" s="9">
        <f t="shared" si="14"/>
        <v>-8934.1876814613988</v>
      </c>
      <c r="AP41" s="48">
        <f t="shared" si="85"/>
        <v>-107852.69007221295</v>
      </c>
      <c r="AR41" s="32">
        <f>IF(ISERROR(VLOOKUP(C41,'TABLES-ACTUAL &amp; FUTURE RATES'!$AL$10:$AN$81,3,FALSE)),0,VLOOKUP(C41,'TABLES-ACTUAL &amp; FUTURE RATES'!$AL$10:$AN$81,3,FALSE))</f>
        <v>0.5</v>
      </c>
      <c r="AS41" s="93">
        <f>IF(ISERROR(VLOOKUP(C41,'TABLES-ACTUAL &amp; FUTURE RATES'!$AL$10:$AM$81,2,FALSE)),0,VLOOKUP(C41,'TABLES-ACTUAL &amp; FUTURE RATES'!$AL$10:$AM$81,2,FALSE))</f>
        <v>5.7971014492753622E-4</v>
      </c>
      <c r="AT41" s="7">
        <f t="shared" si="15"/>
        <v>42.203342806301343</v>
      </c>
      <c r="AU41" s="47">
        <f t="shared" si="86"/>
        <v>16126.093580905446</v>
      </c>
      <c r="AV41" s="9">
        <f t="shared" si="16"/>
        <v>-8917.5123456932888</v>
      </c>
      <c r="AW41" s="48">
        <f t="shared" si="87"/>
        <v>-107328.69176661635</v>
      </c>
      <c r="AX41" s="225"/>
      <c r="AY41">
        <f t="shared" si="17"/>
        <v>85</v>
      </c>
      <c r="AZ41" s="9">
        <f t="shared" si="24"/>
        <v>16179.249245698556</v>
      </c>
      <c r="BA41" s="9">
        <f t="shared" si="25"/>
        <v>-91.163615328983724</v>
      </c>
      <c r="BB41" s="9">
        <f t="shared" si="57"/>
        <v>376190.65723087231</v>
      </c>
      <c r="BC41" s="9">
        <f t="shared" si="26"/>
        <v>-427.00457280804403</v>
      </c>
      <c r="BD41" s="9">
        <f t="shared" si="27"/>
        <v>16059.462311628929</v>
      </c>
      <c r="BE41" s="9">
        <f t="shared" si="28"/>
        <v>-210.95054939861075</v>
      </c>
      <c r="BF41" s="9">
        <f t="shared" si="58"/>
        <v>374062.30240487296</v>
      </c>
      <c r="BG41" s="9">
        <f t="shared" si="29"/>
        <v>-2555.359398807399</v>
      </c>
      <c r="BH41" s="9">
        <f t="shared" si="30"/>
        <v>16059.505291779416</v>
      </c>
      <c r="BI41" s="9">
        <f t="shared" si="31"/>
        <v>-210.90756924812376</v>
      </c>
      <c r="BJ41" s="9">
        <f t="shared" si="59"/>
        <v>373981.78442834521</v>
      </c>
      <c r="BK41" s="9">
        <f t="shared" si="32"/>
        <v>-2635.8773753351416</v>
      </c>
      <c r="BL41" s="9">
        <f t="shared" si="33"/>
        <v>16109.418245137336</v>
      </c>
      <c r="BM41" s="9">
        <f t="shared" si="34"/>
        <v>-160.99461589020393</v>
      </c>
      <c r="BN41" s="9">
        <f t="shared" si="60"/>
        <v>374497.51111152227</v>
      </c>
      <c r="BO41" s="9">
        <f t="shared" si="35"/>
        <v>-2120.1506921580876</v>
      </c>
      <c r="BP41" s="9">
        <f t="shared" si="36"/>
        <v>16126.093580905446</v>
      </c>
      <c r="BQ41" s="9">
        <f t="shared" si="37"/>
        <v>-144.31928012209391</v>
      </c>
      <c r="BR41" s="9">
        <f t="shared" si="61"/>
        <v>375021.50941711885</v>
      </c>
      <c r="BS41" s="9">
        <f t="shared" si="38"/>
        <v>-1596.1523865615018</v>
      </c>
      <c r="BV41" s="310">
        <f t="shared" si="18"/>
        <v>491.05109659997521</v>
      </c>
      <c r="BW41" s="311">
        <f t="shared" si="19"/>
        <v>25043.605926598735</v>
      </c>
      <c r="BX41" s="315">
        <f t="shared" si="39"/>
        <v>0.5183000000000002</v>
      </c>
      <c r="BY41" s="9">
        <f t="shared" si="20"/>
        <v>7774.5000000000027</v>
      </c>
      <c r="BZ41" s="263">
        <f t="shared" si="21"/>
        <v>22774.500000000004</v>
      </c>
      <c r="CA41" s="299"/>
    </row>
    <row r="42" spans="3:79" ht="17" thickBot="1">
      <c r="C42" s="262">
        <f t="shared" si="22"/>
        <v>2041</v>
      </c>
      <c r="D42" s="57">
        <f t="shared" si="23"/>
        <v>86</v>
      </c>
      <c r="E42" s="62">
        <f t="shared" si="40"/>
        <v>25</v>
      </c>
      <c r="F42" s="50">
        <f t="shared" si="75"/>
        <v>25043.605926598735</v>
      </c>
      <c r="G42" s="94">
        <f>IF(ISERROR(VLOOKUP(C42,'TABLES-ACTUAL &amp; FUTURE RATES'!$V$10:$X$81,2,FALSE)),0,VLOOKUP(C42,'TABLES-ACTUAL &amp; FUTURE RATES'!$V$10:$X$81,2,FALSE))</f>
        <v>0.02</v>
      </c>
      <c r="H42" s="5">
        <f t="shared" si="2"/>
        <v>500.87211853197471</v>
      </c>
      <c r="I42" s="5">
        <f t="shared" si="3"/>
        <v>25544.478045130709</v>
      </c>
      <c r="J42" s="257">
        <f t="shared" si="42"/>
        <v>0.89473684210526316</v>
      </c>
      <c r="K42" s="254">
        <f t="shared" si="43"/>
        <v>0.10526315789473684</v>
      </c>
      <c r="L42">
        <f t="shared" si="4"/>
        <v>2041</v>
      </c>
      <c r="M42" s="418">
        <f>IF(ISERROR(VLOOKUP(C42,'TABLES-ACTUAL &amp; FUTURE RATES'!$AB$10:$AC$81,2,FALSE)),0,VLOOKUP(C42,'TABLES-ACTUAL &amp; FUTURE RATES'!$AB$10:$AC$81,2,FALSE))</f>
        <v>1.1594202898550724E-3</v>
      </c>
      <c r="N42" s="7">
        <f t="shared" si="5"/>
        <v>51.132037366463365</v>
      </c>
      <c r="O42" s="52">
        <f t="shared" si="76"/>
        <v>16321.544898394004</v>
      </c>
      <c r="P42" s="8">
        <f t="shared" si="45"/>
        <v>392939.20670207439</v>
      </c>
      <c r="Q42" s="9">
        <f t="shared" si="6"/>
        <v>-9222.9331467367047</v>
      </c>
      <c r="R42" s="53">
        <f t="shared" si="77"/>
        <v>-114955.47252679155</v>
      </c>
      <c r="S42" s="51"/>
      <c r="T42" s="93">
        <f>IF(ISERROR(VLOOKUP(C42,'TABLES-ACTUAL &amp; FUTURE RATES'!$AD$10:$AE$81,2,FALSE)),0,VLOOKUP(C42,'TABLES-ACTUAL &amp; FUTURE RATES'!$AD$10:$AE$81,2,FALSE))</f>
        <v>0</v>
      </c>
      <c r="U42" s="7">
        <f t="shared" si="7"/>
        <v>34.06157735936538</v>
      </c>
      <c r="V42" s="52">
        <f t="shared" si="78"/>
        <v>16213.310823057922</v>
      </c>
      <c r="W42" s="9">
        <f t="shared" si="8"/>
        <v>-9331.1672220727869</v>
      </c>
      <c r="X42" s="53">
        <f t="shared" si="79"/>
        <v>-115490.71117493574</v>
      </c>
      <c r="Y42" s="51"/>
      <c r="Z42" s="93">
        <f>IF(ISERROR(VLOOKUP(C42,'TABLES-ACTUAL &amp; FUTURE RATES'!$AF$10:$AG$81,2,FALSE)),0,VLOOKUP(C42,'TABLES-ACTUAL &amp; FUTURE RATES'!$AF$10:$AG$81,2,FALSE))</f>
        <v>1.1594202898550724E-3</v>
      </c>
      <c r="AA42" s="7">
        <f t="shared" si="9"/>
        <v>50.469095899245758</v>
      </c>
      <c r="AB42" s="52">
        <f t="shared" si="80"/>
        <v>16109.931407528175</v>
      </c>
      <c r="AC42" s="9">
        <f t="shared" si="10"/>
        <v>-9434.5466376025342</v>
      </c>
      <c r="AD42" s="53">
        <f t="shared" si="81"/>
        <v>-117722.44541646479</v>
      </c>
      <c r="AE42" s="51"/>
      <c r="AF42" s="93">
        <f>IF(ISERROR(VLOOKUP(C42,'TABLES-ACTUAL &amp; FUTURE RATES'!$AH$10:$AI$81,2,FALSE)),0,VLOOKUP(C42,'TABLES-ACTUAL &amp; FUTURE RATES'!$AH$10:$AI$81,2,FALSE))</f>
        <v>5.7971014492753622E-4</v>
      </c>
      <c r="AG42" s="7">
        <f t="shared" si="11"/>
        <v>42.13935789757528</v>
      </c>
      <c r="AH42" s="52">
        <f t="shared" si="82"/>
        <v>16101.644649676991</v>
      </c>
      <c r="AI42" s="24">
        <f t="shared" si="12"/>
        <v>-9442.8333954537175</v>
      </c>
      <c r="AJ42" s="53">
        <f t="shared" si="83"/>
        <v>-117811.25015084373</v>
      </c>
      <c r="AK42" s="51"/>
      <c r="AL42" s="93">
        <f>IF(ISERROR(VLOOKUP(C42,'TABLES-ACTUAL &amp; FUTURE RATES'!$AJ$10:$AK$81,2,FALSE)),0,VLOOKUP(C42,'TABLES-ACTUAL &amp; FUTURE RATES'!$AJ$10:$AK$81,2,FALSE))</f>
        <v>1.1594202898550724E-3</v>
      </c>
      <c r="AM42" s="7">
        <f t="shared" si="13"/>
        <v>50.626089374497198</v>
      </c>
      <c r="AN42" s="52">
        <f t="shared" si="84"/>
        <v>16160.044334511833</v>
      </c>
      <c r="AO42" s="9">
        <f t="shared" si="14"/>
        <v>-9384.4337106188759</v>
      </c>
      <c r="AP42" s="53">
        <f t="shared" si="85"/>
        <v>-117237.12378283183</v>
      </c>
      <c r="AQ42" s="51"/>
      <c r="AR42" s="32">
        <f>IF(ISERROR(VLOOKUP(C42,'TABLES-ACTUAL &amp; FUTURE RATES'!$AL$10:$AN$81,3,FALSE)),0,VLOOKUP(C42,'TABLES-ACTUAL &amp; FUTURE RATES'!$AL$10:$AN$81,3,FALSE))</f>
        <v>0.5</v>
      </c>
      <c r="AS42" s="93">
        <f>IF(ISERROR(VLOOKUP(C42,'TABLES-ACTUAL &amp; FUTURE RATES'!$AL$10:$AM$81,2,FALSE)),0,VLOOKUP(C42,'TABLES-ACTUAL &amp; FUTURE RATES'!$AL$10:$AM$81,2,FALSE))</f>
        <v>5.7971014492753622E-4</v>
      </c>
      <c r="AT42" s="7">
        <f t="shared" si="15"/>
        <v>42.314082317555105</v>
      </c>
      <c r="AU42" s="52">
        <f t="shared" si="86"/>
        <v>16168.407663223001</v>
      </c>
      <c r="AV42" s="9">
        <f t="shared" si="16"/>
        <v>-9376.070381907708</v>
      </c>
      <c r="AW42" s="54">
        <f t="shared" si="87"/>
        <v>-116704.76214852405</v>
      </c>
      <c r="AX42" s="225"/>
      <c r="AY42">
        <f t="shared" si="17"/>
        <v>86</v>
      </c>
      <c r="AZ42" s="9">
        <f t="shared" si="24"/>
        <v>16213.310823057922</v>
      </c>
      <c r="BA42" s="9">
        <f t="shared" si="25"/>
        <v>-108.23407533608224</v>
      </c>
      <c r="BB42" s="9">
        <f t="shared" si="57"/>
        <v>392403.96805393021</v>
      </c>
      <c r="BC42" s="9">
        <f t="shared" si="26"/>
        <v>-535.23864814417902</v>
      </c>
      <c r="BD42" s="9">
        <f t="shared" si="27"/>
        <v>16109.931407528175</v>
      </c>
      <c r="BE42" s="9">
        <f t="shared" si="28"/>
        <v>-211.61349086582959</v>
      </c>
      <c r="BF42" s="9">
        <f t="shared" si="58"/>
        <v>390172.23381240113</v>
      </c>
      <c r="BG42" s="9">
        <f t="shared" si="29"/>
        <v>-2766.9728896732558</v>
      </c>
      <c r="BH42" s="9">
        <f t="shared" si="30"/>
        <v>16101.644649676991</v>
      </c>
      <c r="BI42" s="9">
        <f t="shared" si="31"/>
        <v>-219.9002487170128</v>
      </c>
      <c r="BJ42" s="9">
        <f t="shared" si="59"/>
        <v>390083.42907802219</v>
      </c>
      <c r="BK42" s="9">
        <f t="shared" si="32"/>
        <v>-2855.7776240521926</v>
      </c>
      <c r="BL42" s="9">
        <f t="shared" si="33"/>
        <v>16160.044334511833</v>
      </c>
      <c r="BM42" s="9">
        <f t="shared" si="34"/>
        <v>-161.50056388217126</v>
      </c>
      <c r="BN42" s="9">
        <f t="shared" si="60"/>
        <v>390657.55544603412</v>
      </c>
      <c r="BO42" s="9">
        <f t="shared" si="35"/>
        <v>-2281.6512560402625</v>
      </c>
      <c r="BP42" s="9">
        <f t="shared" si="36"/>
        <v>16168.407663223001</v>
      </c>
      <c r="BQ42" s="9">
        <f t="shared" si="37"/>
        <v>-153.13723517100334</v>
      </c>
      <c r="BR42" s="9">
        <f t="shared" si="61"/>
        <v>391189.91708034184</v>
      </c>
      <c r="BS42" s="9">
        <f t="shared" si="38"/>
        <v>-1749.2896217325469</v>
      </c>
      <c r="BV42" s="310">
        <f t="shared" si="18"/>
        <v>500.87211853197471</v>
      </c>
      <c r="BW42" s="311">
        <f t="shared" si="19"/>
        <v>25544.478045130709</v>
      </c>
      <c r="BX42" s="315">
        <f t="shared" si="39"/>
        <v>0.53830000000000022</v>
      </c>
      <c r="BY42" s="9">
        <f t="shared" si="20"/>
        <v>8074.5000000000036</v>
      </c>
      <c r="BZ42" s="263">
        <f t="shared" si="21"/>
        <v>23074.500000000004</v>
      </c>
      <c r="CA42" s="299"/>
    </row>
    <row r="43" spans="3:79" ht="17" thickBot="1">
      <c r="C43" s="262">
        <f t="shared" si="22"/>
        <v>2042</v>
      </c>
      <c r="D43" s="57">
        <f t="shared" si="23"/>
        <v>87</v>
      </c>
      <c r="E43" s="63">
        <f t="shared" si="40"/>
        <v>26</v>
      </c>
      <c r="F43" s="10">
        <f t="shared" si="75"/>
        <v>25544.478045130709</v>
      </c>
      <c r="G43" s="94">
        <f>IF(ISERROR(VLOOKUP(C43,'TABLES-ACTUAL &amp; FUTURE RATES'!$V$10:$X$81,2,FALSE)),0,VLOOKUP(C43,'TABLES-ACTUAL &amp; FUTURE RATES'!$V$10:$X$81,2,FALSE))</f>
        <v>0.02</v>
      </c>
      <c r="H43" s="5">
        <f t="shared" si="2"/>
        <v>510.88956090261416</v>
      </c>
      <c r="I43" s="5">
        <f t="shared" si="3"/>
        <v>26055.367606033324</v>
      </c>
      <c r="J43" s="257">
        <f t="shared" si="42"/>
        <v>0.89473684210526316</v>
      </c>
      <c r="K43" s="254">
        <f t="shared" si="43"/>
        <v>0.10526315789473684</v>
      </c>
      <c r="L43">
        <f t="shared" si="4"/>
        <v>2042</v>
      </c>
      <c r="M43" s="418">
        <f>IF(ISERROR(VLOOKUP(C43,'TABLES-ACTUAL &amp; FUTURE RATES'!$AB$10:$AC$81,2,FALSE)),0,VLOOKUP(C43,'TABLES-ACTUAL &amp; FUTURE RATES'!$AB$10:$AC$81,2,FALSE))</f>
        <v>1.1594202898550724E-3</v>
      </c>
      <c r="N43" s="7">
        <f t="shared" si="5"/>
        <v>51.292726911810298</v>
      </c>
      <c r="O43" s="23">
        <f t="shared" si="76"/>
        <v>16372.837625305814</v>
      </c>
      <c r="P43" s="8">
        <f t="shared" si="45"/>
        <v>409312.04432738019</v>
      </c>
      <c r="Q43" s="9">
        <f t="shared" si="6"/>
        <v>-9682.5299807275096</v>
      </c>
      <c r="R43" s="24">
        <f t="shared" si="77"/>
        <v>-124638.00250751906</v>
      </c>
      <c r="T43" s="93">
        <f>IF(ISERROR(VLOOKUP(C43,'TABLES-ACTUAL &amp; FUTURE RATES'!$AD$10:$AE$81,2,FALSE)),0,VLOOKUP(C43,'TABLES-ACTUAL &amp; FUTURE RATES'!$AD$10:$AE$81,2,FALSE))</f>
        <v>0</v>
      </c>
      <c r="U43" s="7">
        <f t="shared" si="7"/>
        <v>34.133285943279837</v>
      </c>
      <c r="V43" s="23">
        <f t="shared" si="78"/>
        <v>16247.444109001202</v>
      </c>
      <c r="W43" s="9">
        <f t="shared" si="8"/>
        <v>-9807.9234970321213</v>
      </c>
      <c r="X43" s="24">
        <f t="shared" si="79"/>
        <v>-125298.63467196787</v>
      </c>
      <c r="Z43" s="93">
        <f>IF(ISERROR(VLOOKUP(C43,'TABLES-ACTUAL &amp; FUTURE RATES'!$AF$10:$AG$81,2,FALSE)),0,VLOOKUP(C43,'TABLES-ACTUAL &amp; FUTURE RATES'!$AF$10:$AG$81,2,FALSE))</f>
        <v>0</v>
      </c>
      <c r="AA43" s="7">
        <f t="shared" si="9"/>
        <v>33.915645068480366</v>
      </c>
      <c r="AB43" s="23">
        <f t="shared" si="80"/>
        <v>16143.847052596655</v>
      </c>
      <c r="AC43" s="9">
        <f t="shared" si="10"/>
        <v>-9911.5205534366687</v>
      </c>
      <c r="AD43" s="24">
        <f t="shared" si="81"/>
        <v>-127633.96596990146</v>
      </c>
      <c r="AF43" s="93">
        <f>IF(ISERROR(VLOOKUP(C43,'TABLES-ACTUAL &amp; FUTURE RATES'!$AH$10:$AI$81,2,FALSE)),0,VLOOKUP(C43,'TABLES-ACTUAL &amp; FUTURE RATES'!$AH$10:$AI$81,2,FALSE))</f>
        <v>5.7971014492753622E-4</v>
      </c>
      <c r="AG43" s="7">
        <f t="shared" si="11"/>
        <v>42.249929515552132</v>
      </c>
      <c r="AH43" s="23">
        <f t="shared" si="82"/>
        <v>16143.894579192543</v>
      </c>
      <c r="AI43" s="24">
        <f t="shared" si="12"/>
        <v>-9911.4730268407802</v>
      </c>
      <c r="AJ43" s="24">
        <f t="shared" si="83"/>
        <v>-127722.7231776845</v>
      </c>
      <c r="AL43" s="93">
        <f>IF(ISERROR(VLOOKUP(C43,'TABLES-ACTUAL &amp; FUTURE RATES'!$AJ$10:$AK$81,2,FALSE)),0,VLOOKUP(C43,'TABLES-ACTUAL &amp; FUTURE RATES'!$AJ$10:$AK$81,2,FALSE))</f>
        <v>5.7971014492753622E-4</v>
      </c>
      <c r="AM43" s="7">
        <f t="shared" si="13"/>
        <v>42.403167437620674</v>
      </c>
      <c r="AN43" s="23">
        <f t="shared" si="84"/>
        <v>16202.447501949453</v>
      </c>
      <c r="AO43" s="9">
        <f t="shared" si="14"/>
        <v>-9852.9201040838707</v>
      </c>
      <c r="AP43" s="24">
        <f t="shared" si="85"/>
        <v>-127090.04388691569</v>
      </c>
      <c r="AR43" s="32">
        <f>IF(ISERROR(VLOOKUP(C43,'TABLES-ACTUAL &amp; FUTURE RATES'!$AL$10:$AN$81,3,FALSE)),0,VLOOKUP(C43,'TABLES-ACTUAL &amp; FUTURE RATES'!$AL$10:$AN$81,3,FALSE))</f>
        <v>0.5</v>
      </c>
      <c r="AS43" s="93">
        <f>IF(ISERROR(VLOOKUP(C43,'TABLES-ACTUAL &amp; FUTURE RATES'!$AL$10:$AM$81,2,FALSE)),0,VLOOKUP(C43,'TABLES-ACTUAL &amp; FUTURE RATES'!$AL$10:$AM$81,2,FALSE))</f>
        <v>5.7971014492753622E-4</v>
      </c>
      <c r="AT43" s="7">
        <f t="shared" si="15"/>
        <v>42.425112403880334</v>
      </c>
      <c r="AU43" s="23">
        <f t="shared" si="86"/>
        <v>16210.832775626881</v>
      </c>
      <c r="AV43" s="9">
        <f t="shared" si="16"/>
        <v>-9844.5348304064428</v>
      </c>
      <c r="AW43" s="24">
        <f t="shared" si="87"/>
        <v>-126549.29697893049</v>
      </c>
      <c r="AX43" s="225"/>
      <c r="AY43">
        <f t="shared" si="17"/>
        <v>87</v>
      </c>
      <c r="AZ43" s="9">
        <f t="shared" si="24"/>
        <v>16247.444109001202</v>
      </c>
      <c r="BA43" s="9">
        <f t="shared" si="25"/>
        <v>-125.39351630461169</v>
      </c>
      <c r="BB43" s="9">
        <f t="shared" si="57"/>
        <v>408651.4121629314</v>
      </c>
      <c r="BC43" s="9">
        <f t="shared" si="26"/>
        <v>-660.63216444879072</v>
      </c>
      <c r="BD43" s="9">
        <f t="shared" si="27"/>
        <v>16143.847052596655</v>
      </c>
      <c r="BE43" s="9">
        <f t="shared" si="28"/>
        <v>-228.9905727091591</v>
      </c>
      <c r="BF43" s="9">
        <f t="shared" si="58"/>
        <v>406316.08086499781</v>
      </c>
      <c r="BG43" s="9">
        <f t="shared" si="29"/>
        <v>-2995.9634623823804</v>
      </c>
      <c r="BH43" s="9">
        <f t="shared" si="30"/>
        <v>16143.894579192543</v>
      </c>
      <c r="BI43" s="9">
        <f t="shared" si="31"/>
        <v>-228.94304611327061</v>
      </c>
      <c r="BJ43" s="9">
        <f t="shared" si="59"/>
        <v>406227.32365721476</v>
      </c>
      <c r="BK43" s="9">
        <f t="shared" si="32"/>
        <v>-3084.7206701654359</v>
      </c>
      <c r="BL43" s="9">
        <f t="shared" si="33"/>
        <v>16202.447501949453</v>
      </c>
      <c r="BM43" s="9">
        <f t="shared" si="34"/>
        <v>-170.39012335636107</v>
      </c>
      <c r="BN43" s="9">
        <f t="shared" si="60"/>
        <v>406860.00294798356</v>
      </c>
      <c r="BO43" s="9">
        <f t="shared" si="35"/>
        <v>-2452.0413793966291</v>
      </c>
      <c r="BP43" s="9">
        <f t="shared" si="36"/>
        <v>16210.832775626881</v>
      </c>
      <c r="BQ43" s="9">
        <f t="shared" si="37"/>
        <v>-162.00484967893317</v>
      </c>
      <c r="BR43" s="9">
        <f t="shared" si="61"/>
        <v>407400.74985596869</v>
      </c>
      <c r="BS43" s="9">
        <f t="shared" si="38"/>
        <v>-1911.2944714115001</v>
      </c>
      <c r="BV43" s="310">
        <f t="shared" si="18"/>
        <v>510.88956090261416</v>
      </c>
      <c r="BW43" s="311">
        <f t="shared" si="19"/>
        <v>26055.367606033324</v>
      </c>
      <c r="BX43" s="315">
        <f t="shared" si="39"/>
        <v>0.55830000000000024</v>
      </c>
      <c r="BY43" s="9">
        <f t="shared" si="20"/>
        <v>8374.5000000000036</v>
      </c>
      <c r="BZ43" s="263">
        <f t="shared" si="21"/>
        <v>23374.500000000004</v>
      </c>
      <c r="CA43" s="299"/>
    </row>
    <row r="44" spans="3:79" ht="17" thickBot="1">
      <c r="C44" s="262">
        <f t="shared" si="22"/>
        <v>2043</v>
      </c>
      <c r="D44" s="57">
        <f t="shared" si="23"/>
        <v>88</v>
      </c>
      <c r="E44" s="31">
        <f t="shared" si="40"/>
        <v>27</v>
      </c>
      <c r="F44" s="5">
        <f t="shared" si="75"/>
        <v>26055.367606033324</v>
      </c>
      <c r="G44" s="94">
        <f>IF(ISERROR(VLOOKUP(C44,'TABLES-ACTUAL &amp; FUTURE RATES'!$V$10:$X$81,2,FALSE)),0,VLOOKUP(C44,'TABLES-ACTUAL &amp; FUTURE RATES'!$V$10:$X$81,2,FALSE))</f>
        <v>0.02</v>
      </c>
      <c r="H44" s="5">
        <f t="shared" si="2"/>
        <v>521.10735212066652</v>
      </c>
      <c r="I44" s="5">
        <f t="shared" si="3"/>
        <v>26576.474958153991</v>
      </c>
      <c r="J44" s="257">
        <f t="shared" si="42"/>
        <v>0.89473684210526316</v>
      </c>
      <c r="K44" s="254">
        <f t="shared" si="43"/>
        <v>0.10526315789473684</v>
      </c>
      <c r="L44">
        <f t="shared" si="4"/>
        <v>2043</v>
      </c>
      <c r="M44" s="418">
        <f>IF(ISERROR(VLOOKUP(C44,'TABLES-ACTUAL &amp; FUTURE RATES'!$AB$10:$AC$81,2,FALSE)),0,VLOOKUP(C44,'TABLES-ACTUAL &amp; FUTURE RATES'!$AB$10:$AC$81,2,FALSE))</f>
        <v>1.1594202898550724E-3</v>
      </c>
      <c r="N44" s="7">
        <f t="shared" si="5"/>
        <v>51.453921446422541</v>
      </c>
      <c r="O44" s="8">
        <f t="shared" si="76"/>
        <v>16424.291546752236</v>
      </c>
      <c r="P44" s="8">
        <f t="shared" si="45"/>
        <v>425736.3358741324</v>
      </c>
      <c r="Q44" s="9">
        <f t="shared" si="6"/>
        <v>-10152.183411401755</v>
      </c>
      <c r="R44" s="9">
        <f t="shared" si="77"/>
        <v>-134790.18591892082</v>
      </c>
      <c r="T44" s="93">
        <f>IF(ISERROR(VLOOKUP(C44,'TABLES-ACTUAL &amp; FUTURE RATES'!$AD$10:$AE$81,2,FALSE)),0,VLOOKUP(C44,'TABLES-ACTUAL &amp; FUTURE RATES'!$AD$10:$AE$81,2,FALSE))</f>
        <v>0</v>
      </c>
      <c r="U44" s="7">
        <f t="shared" si="7"/>
        <v>34.205145492634109</v>
      </c>
      <c r="V44" s="8">
        <f t="shared" si="78"/>
        <v>16281.649254493837</v>
      </c>
      <c r="W44" s="9">
        <f t="shared" si="8"/>
        <v>-10294.825703660154</v>
      </c>
      <c r="X44" s="9">
        <f t="shared" si="79"/>
        <v>-135593.46037562803</v>
      </c>
      <c r="Z44" s="93">
        <f>IF(ISERROR(VLOOKUP(C44,'TABLES-ACTUAL &amp; FUTURE RATES'!$AF$10:$AG$81,2,FALSE)),0,VLOOKUP(C44,'TABLES-ACTUAL &amp; FUTURE RATES'!$AF$10:$AG$81,2,FALSE))</f>
        <v>1.1594202898550724E-3</v>
      </c>
      <c r="AA44" s="7">
        <f t="shared" si="9"/>
        <v>50.734286694659204</v>
      </c>
      <c r="AB44" s="8">
        <f t="shared" si="80"/>
        <v>16194.581339291315</v>
      </c>
      <c r="AC44" s="9">
        <f t="shared" si="10"/>
        <v>-10381.893618862676</v>
      </c>
      <c r="AD44" s="9">
        <f t="shared" si="81"/>
        <v>-138015.85958876414</v>
      </c>
      <c r="AF44" s="93">
        <f>IF(ISERROR(VLOOKUP(C44,'TABLES-ACTUAL &amp; FUTURE RATES'!$AH$10:$AI$81,2,FALSE)),0,VLOOKUP(C44,'TABLES-ACTUAL &amp; FUTURE RATES'!$AH$10:$AI$81,2,FALSE))</f>
        <v>5.7971014492753622E-4</v>
      </c>
      <c r="AG44" s="7">
        <f t="shared" si="11"/>
        <v>42.360791268056715</v>
      </c>
      <c r="AH44" s="8">
        <f t="shared" si="82"/>
        <v>16186.2553704606</v>
      </c>
      <c r="AI44" s="24">
        <f t="shared" si="12"/>
        <v>-10390.219587693391</v>
      </c>
      <c r="AJ44" s="9">
        <f t="shared" si="83"/>
        <v>-138112.9427653779</v>
      </c>
      <c r="AL44" s="93">
        <f>IF(ISERROR(VLOOKUP(C44,'TABLES-ACTUAL &amp; FUTURE RATES'!$AJ$10:$AK$81,2,FALSE)),0,VLOOKUP(C44,'TABLES-ACTUAL &amp; FUTURE RATES'!$AJ$10:$AK$81,2,FALSE))</f>
        <v>5.7971014492753622E-4</v>
      </c>
      <c r="AM44" s="7">
        <f t="shared" si="13"/>
        <v>42.514431278952031</v>
      </c>
      <c r="AN44" s="8">
        <f t="shared" si="84"/>
        <v>16244.961933228406</v>
      </c>
      <c r="AO44" s="9">
        <f t="shared" si="14"/>
        <v>-10331.513024925585</v>
      </c>
      <c r="AP44" s="9">
        <f t="shared" si="85"/>
        <v>-137421.55691184127</v>
      </c>
      <c r="AR44" s="32">
        <f>IF(ISERROR(VLOOKUP(C44,'TABLES-ACTUAL &amp; FUTURE RATES'!$AL$10:$AN$81,3,FALSE)),0,VLOOKUP(C44,'TABLES-ACTUAL &amp; FUTURE RATES'!$AL$10:$AN$81,3,FALSE))</f>
        <v>0.5</v>
      </c>
      <c r="AS44" s="93">
        <f>IF(ISERROR(VLOOKUP(C44,'TABLES-ACTUAL &amp; FUTURE RATES'!$AL$10:$AM$81,2,FALSE)),0,VLOOKUP(C44,'TABLES-ACTUAL &amp; FUTURE RATES'!$AL$10:$AM$81,2,FALSE))</f>
        <v>5.7971014492753622E-4</v>
      </c>
      <c r="AT44" s="7">
        <f t="shared" si="15"/>
        <v>42.536433827731855</v>
      </c>
      <c r="AU44" s="8">
        <f t="shared" si="86"/>
        <v>16253.369209454613</v>
      </c>
      <c r="AV44" s="9">
        <f t="shared" si="16"/>
        <v>-10323.105748699378</v>
      </c>
      <c r="AW44" s="9">
        <f t="shared" si="87"/>
        <v>-136872.40272762987</v>
      </c>
      <c r="AX44" s="225"/>
      <c r="AY44">
        <f t="shared" si="17"/>
        <v>88</v>
      </c>
      <c r="AZ44" s="9">
        <f t="shared" si="24"/>
        <v>16281.649254493837</v>
      </c>
      <c r="BA44" s="9">
        <f t="shared" si="25"/>
        <v>-142.64229225839881</v>
      </c>
      <c r="BB44" s="9">
        <f t="shared" si="57"/>
        <v>424933.06141742523</v>
      </c>
      <c r="BC44" s="9">
        <f t="shared" si="26"/>
        <v>-803.27445670717862</v>
      </c>
      <c r="BD44" s="9">
        <f t="shared" si="27"/>
        <v>16194.581339291315</v>
      </c>
      <c r="BE44" s="9">
        <f t="shared" si="28"/>
        <v>-229.71020746092108</v>
      </c>
      <c r="BF44" s="9">
        <f t="shared" si="58"/>
        <v>422510.66220428911</v>
      </c>
      <c r="BG44" s="9">
        <f t="shared" si="29"/>
        <v>-3225.6736698432942</v>
      </c>
      <c r="BH44" s="9">
        <f t="shared" si="30"/>
        <v>16186.2553704606</v>
      </c>
      <c r="BI44" s="9">
        <f t="shared" si="31"/>
        <v>-238.03617629163637</v>
      </c>
      <c r="BJ44" s="9">
        <f t="shared" si="59"/>
        <v>422413.57902767538</v>
      </c>
      <c r="BK44" s="9">
        <f t="shared" si="32"/>
        <v>-3322.7568464570213</v>
      </c>
      <c r="BL44" s="9">
        <f t="shared" si="33"/>
        <v>16244.961933228406</v>
      </c>
      <c r="BM44" s="9">
        <f t="shared" si="34"/>
        <v>-179.32961352383063</v>
      </c>
      <c r="BN44" s="9">
        <f t="shared" si="60"/>
        <v>423104.96488121198</v>
      </c>
      <c r="BO44" s="9">
        <f t="shared" si="35"/>
        <v>-2631.3709929204197</v>
      </c>
      <c r="BP44" s="9">
        <f t="shared" si="36"/>
        <v>16253.369209454613</v>
      </c>
      <c r="BQ44" s="9">
        <f t="shared" si="37"/>
        <v>-170.92233729762302</v>
      </c>
      <c r="BR44" s="9">
        <f t="shared" si="61"/>
        <v>423654.11906542332</v>
      </c>
      <c r="BS44" s="9">
        <f t="shared" si="38"/>
        <v>-2082.2168087090831</v>
      </c>
      <c r="BV44" s="310">
        <f t="shared" si="18"/>
        <v>521.10735212066652</v>
      </c>
      <c r="BW44" s="311">
        <f t="shared" si="19"/>
        <v>26576.474958153991</v>
      </c>
      <c r="BX44" s="315">
        <f t="shared" si="39"/>
        <v>0.57830000000000026</v>
      </c>
      <c r="BY44" s="9">
        <f t="shared" si="20"/>
        <v>8674.5000000000036</v>
      </c>
      <c r="BZ44" s="263">
        <f t="shared" si="21"/>
        <v>23674.500000000004</v>
      </c>
      <c r="CA44" s="299"/>
    </row>
    <row r="45" spans="3:79" ht="17" thickBot="1">
      <c r="C45" s="262">
        <f t="shared" si="22"/>
        <v>2044</v>
      </c>
      <c r="D45" s="57">
        <f t="shared" si="23"/>
        <v>89</v>
      </c>
      <c r="E45" s="31">
        <f t="shared" si="40"/>
        <v>28</v>
      </c>
      <c r="F45" s="5">
        <f t="shared" ref="F45:F46" si="88">I44</f>
        <v>26576.474958153991</v>
      </c>
      <c r="G45" s="94">
        <f>IF(ISERROR(VLOOKUP(C45,'TABLES-ACTUAL &amp; FUTURE RATES'!$V$10:$X$81,2,FALSE)),0,VLOOKUP(C45,'TABLES-ACTUAL &amp; FUTURE RATES'!$V$10:$X$81,2,FALSE))</f>
        <v>0.02</v>
      </c>
      <c r="H45" s="5">
        <f t="shared" si="2"/>
        <v>531.52949916307978</v>
      </c>
      <c r="I45" s="5">
        <f t="shared" si="3"/>
        <v>27108.004457317071</v>
      </c>
      <c r="J45" s="257">
        <f t="shared" si="42"/>
        <v>0.89473684210526316</v>
      </c>
      <c r="K45" s="254">
        <f t="shared" si="43"/>
        <v>0.10526315789473684</v>
      </c>
      <c r="L45">
        <f t="shared" si="4"/>
        <v>2044</v>
      </c>
      <c r="M45" s="418">
        <f>IF(ISERROR(VLOOKUP(C45,'TABLES-ACTUAL &amp; FUTURE RATES'!$AB$10:$AC$81,2,FALSE)),0,VLOOKUP(C45,'TABLES-ACTUAL &amp; FUTURE RATES'!$AB$10:$AC$81,2,FALSE))</f>
        <v>1.1594202898550724E-3</v>
      </c>
      <c r="N45" s="7">
        <f t="shared" si="5"/>
        <v>51.615622557299162</v>
      </c>
      <c r="O45" s="8">
        <f t="shared" ref="O45:O46" si="89">O44+N45</f>
        <v>16475.907169309536</v>
      </c>
      <c r="P45" s="8">
        <f t="shared" si="45"/>
        <v>442212.24304344197</v>
      </c>
      <c r="Q45" s="9">
        <f t="shared" si="6"/>
        <v>-10632.097288007535</v>
      </c>
      <c r="R45" s="9">
        <f t="shared" ref="R45:R46" si="90">R44+Q45</f>
        <v>-145422.28320692835</v>
      </c>
      <c r="T45" s="93">
        <f>IF(ISERROR(VLOOKUP(C45,'TABLES-ACTUAL &amp; FUTURE RATES'!$AD$10:$AE$81,2,FALSE)),0,VLOOKUP(C45,'TABLES-ACTUAL &amp; FUTURE RATES'!$AD$10:$AE$81,2,FALSE))</f>
        <v>0</v>
      </c>
      <c r="U45" s="7">
        <f t="shared" si="7"/>
        <v>34.277156325250182</v>
      </c>
      <c r="V45" s="8">
        <f t="shared" ref="V45:V46" si="91">V44+U45</f>
        <v>16315.926410819087</v>
      </c>
      <c r="W45" s="9">
        <f t="shared" si="8"/>
        <v>-10792.078046497983</v>
      </c>
      <c r="X45" s="9">
        <f t="shared" ref="X45:X46" si="92">X44+W45</f>
        <v>-146385.538422126</v>
      </c>
      <c r="Z45" s="93">
        <f>IF(ISERROR(VLOOKUP(C45,'TABLES-ACTUAL &amp; FUTURE RATES'!$AF$10:$AG$81,2,FALSE)),0,VLOOKUP(C45,'TABLES-ACTUAL &amp; FUTURE RATES'!$AF$10:$AG$81,2,FALSE))</f>
        <v>0</v>
      </c>
      <c r="AA45" s="7">
        <f t="shared" si="9"/>
        <v>34.093855451139611</v>
      </c>
      <c r="AB45" s="8">
        <f t="shared" ref="AB45:AB46" si="93">AB44+AA45</f>
        <v>16228.675194742455</v>
      </c>
      <c r="AC45" s="9">
        <f t="shared" si="10"/>
        <v>-10879.329262574616</v>
      </c>
      <c r="AD45" s="9">
        <f t="shared" ref="AD45:AD46" si="94">AD44+AC45</f>
        <v>-148895.18885133875</v>
      </c>
      <c r="AF45" s="93">
        <f>IF(ISERROR(VLOOKUP(C45,'TABLES-ACTUAL &amp; FUTURE RATES'!$AH$10:$AI$81,2,FALSE)),0,VLOOKUP(C45,'TABLES-ACTUAL &amp; FUTURE RATES'!$AH$10:$AI$81,2,FALSE))</f>
        <v>5.7971014492753622E-4</v>
      </c>
      <c r="AG45" s="7">
        <f t="shared" si="11"/>
        <v>42.471943916387843</v>
      </c>
      <c r="AH45" s="8">
        <f t="shared" ref="AH45:AH46" si="95">AH44+AG45</f>
        <v>16228.727314376987</v>
      </c>
      <c r="AI45" s="24">
        <f t="shared" si="12"/>
        <v>-10879.277142940084</v>
      </c>
      <c r="AJ45" s="9">
        <f t="shared" ref="AJ45:AJ46" si="96">AJ44+AI45</f>
        <v>-148992.21990831799</v>
      </c>
      <c r="AL45" s="93">
        <f>IF(ISERROR(VLOOKUP(C45,'TABLES-ACTUAL &amp; FUTURE RATES'!$AJ$10:$AK$81,2,FALSE)),0,VLOOKUP(C45,'TABLES-ACTUAL &amp; FUTURE RATES'!$AJ$10:$AK$81,2,FALSE))</f>
        <v>1.1594202898550724E-3</v>
      </c>
      <c r="AM45" s="7">
        <f t="shared" si="13"/>
        <v>51.05205428291459</v>
      </c>
      <c r="AN45" s="8">
        <f t="shared" ref="AN45:AN46" si="97">AN44+AM45</f>
        <v>16296.01398751132</v>
      </c>
      <c r="AO45" s="9">
        <f t="shared" si="14"/>
        <v>-10811.990469805751</v>
      </c>
      <c r="AP45" s="9">
        <f t="shared" ref="AP45:AP46" si="98">AP44+AO45</f>
        <v>-148233.54738164702</v>
      </c>
      <c r="AR45" s="32">
        <f>IF(ISERROR(VLOOKUP(C45,'TABLES-ACTUAL &amp; FUTURE RATES'!$AL$10:$AN$81,3,FALSE)),0,VLOOKUP(C45,'TABLES-ACTUAL &amp; FUTURE RATES'!$AL$10:$AN$81,3,FALSE))</f>
        <v>0.5</v>
      </c>
      <c r="AS45" s="93">
        <f>IF(ISERROR(VLOOKUP(C45,'TABLES-ACTUAL &amp; FUTURE RATES'!$AL$10:$AM$81,2,FALSE)),0,VLOOKUP(C45,'TABLES-ACTUAL &amp; FUTURE RATES'!$AL$10:$AM$81,2,FALSE))</f>
        <v>5.7971014492753622E-4</v>
      </c>
      <c r="AT45" s="7">
        <f t="shared" si="15"/>
        <v>42.648047353565111</v>
      </c>
      <c r="AU45" s="8">
        <f t="shared" ref="AU45:AU46" si="99">AU44+AT45</f>
        <v>16296.017256808178</v>
      </c>
      <c r="AV45" s="9">
        <f t="shared" si="16"/>
        <v>-10811.987200508893</v>
      </c>
      <c r="AW45" s="9">
        <f t="shared" ref="AW45:AW46" si="100">AW44+AV45</f>
        <v>-147684.38992813876</v>
      </c>
      <c r="AX45" s="225"/>
      <c r="AY45">
        <f t="shared" si="17"/>
        <v>89</v>
      </c>
      <c r="AZ45" s="9">
        <f t="shared" si="24"/>
        <v>16315.926410819087</v>
      </c>
      <c r="BA45" s="9">
        <f t="shared" si="25"/>
        <v>-159.98075849044835</v>
      </c>
      <c r="BB45" s="9">
        <f t="shared" si="57"/>
        <v>441248.98782824434</v>
      </c>
      <c r="BC45" s="9">
        <f t="shared" si="26"/>
        <v>-963.25521519762697</v>
      </c>
      <c r="BD45" s="9">
        <f t="shared" si="27"/>
        <v>16228.675194742455</v>
      </c>
      <c r="BE45" s="9">
        <f t="shared" si="28"/>
        <v>-247.23197456708112</v>
      </c>
      <c r="BF45" s="9">
        <f t="shared" si="58"/>
        <v>438739.33739903156</v>
      </c>
      <c r="BG45" s="9">
        <f t="shared" si="29"/>
        <v>-3472.9056444104062</v>
      </c>
      <c r="BH45" s="9">
        <f t="shared" si="30"/>
        <v>16228.727314376987</v>
      </c>
      <c r="BI45" s="9">
        <f t="shared" si="31"/>
        <v>-247.17985493254855</v>
      </c>
      <c r="BJ45" s="9">
        <f t="shared" si="59"/>
        <v>438642.30634205235</v>
      </c>
      <c r="BK45" s="9">
        <f t="shared" si="32"/>
        <v>-3569.9367013896117</v>
      </c>
      <c r="BL45" s="9">
        <f t="shared" si="33"/>
        <v>16296.01398751132</v>
      </c>
      <c r="BM45" s="9">
        <f t="shared" si="34"/>
        <v>-179.89318179821566</v>
      </c>
      <c r="BN45" s="9">
        <f t="shared" si="60"/>
        <v>439400.97886872332</v>
      </c>
      <c r="BO45" s="9">
        <f t="shared" si="35"/>
        <v>-2811.2641747186426</v>
      </c>
      <c r="BP45" s="9">
        <f t="shared" si="36"/>
        <v>16296.017256808178</v>
      </c>
      <c r="BQ45" s="9">
        <f t="shared" si="37"/>
        <v>-179.88991250135768</v>
      </c>
      <c r="BR45" s="9">
        <f t="shared" si="61"/>
        <v>439950.1363222315</v>
      </c>
      <c r="BS45" s="9">
        <f t="shared" si="38"/>
        <v>-2262.1067212104681</v>
      </c>
      <c r="BV45" s="310">
        <f t="shared" si="18"/>
        <v>531.52949916307978</v>
      </c>
      <c r="BW45" s="311">
        <f t="shared" si="19"/>
        <v>27108.004457317071</v>
      </c>
      <c r="BX45" s="315">
        <f t="shared" si="39"/>
        <v>0.59830000000000028</v>
      </c>
      <c r="BY45" s="9">
        <f t="shared" si="20"/>
        <v>8974.5000000000036</v>
      </c>
      <c r="BZ45" s="263">
        <f t="shared" si="21"/>
        <v>23974.500000000004</v>
      </c>
      <c r="CA45" s="299"/>
    </row>
    <row r="46" spans="3:79" ht="17" thickBot="1">
      <c r="C46" s="262">
        <f t="shared" si="22"/>
        <v>2045</v>
      </c>
      <c r="D46" s="57">
        <f t="shared" si="23"/>
        <v>90</v>
      </c>
      <c r="E46" s="31">
        <f t="shared" si="40"/>
        <v>29</v>
      </c>
      <c r="F46" s="5">
        <f t="shared" si="88"/>
        <v>27108.004457317071</v>
      </c>
      <c r="G46" s="94">
        <f>IF(ISERROR(VLOOKUP(C46,'TABLES-ACTUAL &amp; FUTURE RATES'!$V$10:$X$81,2,FALSE)),0,VLOOKUP(C46,'TABLES-ACTUAL &amp; FUTURE RATES'!$V$10:$X$81,2,FALSE))</f>
        <v>0.02</v>
      </c>
      <c r="H46" s="5">
        <f t="shared" si="2"/>
        <v>542.16008914634142</v>
      </c>
      <c r="I46" s="5">
        <f t="shared" si="3"/>
        <v>27650.164546463413</v>
      </c>
      <c r="J46" s="257">
        <f t="shared" si="42"/>
        <v>0.89473684210526316</v>
      </c>
      <c r="K46" s="254">
        <f t="shared" si="43"/>
        <v>0.10526315789473684</v>
      </c>
      <c r="L46">
        <f t="shared" si="4"/>
        <v>2045</v>
      </c>
      <c r="M46" s="418">
        <f>IF(ISERROR(VLOOKUP(C46,'TABLES-ACTUAL &amp; FUTURE RATES'!$AB$10:$AC$81,2,FALSE)),0,VLOOKUP(C46,'TABLES-ACTUAL &amp; FUTURE RATES'!$AB$10:$AC$81,2,FALSE))</f>
        <v>1.1594202898550724E-3</v>
      </c>
      <c r="N46" s="7">
        <f t="shared" si="5"/>
        <v>51.7778318364266</v>
      </c>
      <c r="O46" s="8">
        <f t="shared" si="89"/>
        <v>16527.685001145961</v>
      </c>
      <c r="P46" s="8">
        <f t="shared" si="45"/>
        <v>458739.92804458796</v>
      </c>
      <c r="Q46" s="9">
        <f t="shared" si="6"/>
        <v>-11122.479545317452</v>
      </c>
      <c r="R46" s="9">
        <f t="shared" si="90"/>
        <v>-156544.76275224579</v>
      </c>
      <c r="T46" s="93">
        <f>IF(ISERROR(VLOOKUP(C46,'TABLES-ACTUAL &amp; FUTURE RATES'!$AD$10:$AE$81,2,FALSE)),0,VLOOKUP(C46,'TABLES-ACTUAL &amp; FUTURE RATES'!$AD$10:$AE$81,2,FALSE))</f>
        <v>0</v>
      </c>
      <c r="U46" s="7">
        <f t="shared" si="7"/>
        <v>34.349318759619131</v>
      </c>
      <c r="V46" s="8">
        <f t="shared" si="91"/>
        <v>16350.275729578707</v>
      </c>
      <c r="W46" s="9">
        <f t="shared" si="8"/>
        <v>-11299.888816884706</v>
      </c>
      <c r="X46" s="9">
        <f t="shared" si="92"/>
        <v>-157685.42723901072</v>
      </c>
      <c r="Z46" s="93">
        <f>IF(ISERROR(VLOOKUP(C46,'TABLES-ACTUAL &amp; FUTURE RATES'!$AF$10:$AG$81,2,FALSE)),0,VLOOKUP(C46,'TABLES-ACTUAL &amp; FUTURE RATES'!$AF$10:$AG$81,2,FALSE))</f>
        <v>1.1594202898550724E-3</v>
      </c>
      <c r="AA46" s="7">
        <f t="shared" si="9"/>
        <v>51.000870939999167</v>
      </c>
      <c r="AB46" s="8">
        <f t="shared" si="93"/>
        <v>16279.676065682454</v>
      </c>
      <c r="AC46" s="9">
        <f t="shared" si="10"/>
        <v>-11370.488480780959</v>
      </c>
      <c r="AD46" s="9">
        <f t="shared" si="94"/>
        <v>-160265.67733211973</v>
      </c>
      <c r="AF46" s="93">
        <f>IF(ISERROR(VLOOKUP(C46,'TABLES-ACTUAL &amp; FUTURE RATES'!$AH$10:$AI$81,2,FALSE)),0,VLOOKUP(C46,'TABLES-ACTUAL &amp; FUTURE RATES'!$AH$10:$AI$81,2,FALSE))</f>
        <v>5.7971014492753622E-4</v>
      </c>
      <c r="AG46" s="7">
        <f t="shared" si="11"/>
        <v>42.583388223841979</v>
      </c>
      <c r="AH46" s="8">
        <f t="shared" si="95"/>
        <v>16271.310702600829</v>
      </c>
      <c r="AI46" s="24">
        <f t="shared" si="12"/>
        <v>-11378.853843862584</v>
      </c>
      <c r="AJ46" s="9">
        <f t="shared" si="96"/>
        <v>-160371.07375218056</v>
      </c>
      <c r="AL46" s="93">
        <f>IF(ISERROR(VLOOKUP(C46,'TABLES-ACTUAL &amp; FUTURE RATES'!$AJ$10:$AK$81,2,FALSE)),0,VLOOKUP(C46,'TABLES-ACTUAL &amp; FUTURE RATES'!$AJ$10:$AK$81,2,FALSE))</f>
        <v>5.7971014492753622E-4</v>
      </c>
      <c r="AM46" s="7">
        <f t="shared" si="13"/>
        <v>42.759945169366084</v>
      </c>
      <c r="AN46" s="8">
        <f t="shared" si="97"/>
        <v>16338.773932680686</v>
      </c>
      <c r="AO46" s="9">
        <f t="shared" si="14"/>
        <v>-11311.390613782727</v>
      </c>
      <c r="AP46" s="9">
        <f t="shared" si="98"/>
        <v>-159544.93799542973</v>
      </c>
      <c r="AR46" s="32">
        <f>IF(ISERROR(VLOOKUP(C46,'TABLES-ACTUAL &amp; FUTURE RATES'!$AL$10:$AN$81,3,FALSE)),0,VLOOKUP(C46,'TABLES-ACTUAL &amp; FUTURE RATES'!$AL$10:$AN$81,3,FALSE))</f>
        <v>0.5</v>
      </c>
      <c r="AS46" s="93">
        <f>IF(ISERROR(VLOOKUP(C46,'TABLES-ACTUAL &amp; FUTURE RATES'!$AL$10:$AM$81,2,FALSE)),0,VLOOKUP(C46,'TABLES-ACTUAL &amp; FUTURE RATES'!$AL$10:$AM$81,2,FALSE))</f>
        <v>5.7971014492753622E-4</v>
      </c>
      <c r="AT46" s="7">
        <f t="shared" si="15"/>
        <v>42.759953747841436</v>
      </c>
      <c r="AU46" s="8">
        <f t="shared" si="99"/>
        <v>16338.77721055602</v>
      </c>
      <c r="AV46" s="9">
        <f t="shared" si="16"/>
        <v>-11311.387335907393</v>
      </c>
      <c r="AW46" s="9">
        <f t="shared" si="100"/>
        <v>-158995.77726404616</v>
      </c>
      <c r="AX46" s="225"/>
      <c r="AY46">
        <f t="shared" si="17"/>
        <v>90</v>
      </c>
      <c r="AZ46" s="9">
        <f t="shared" si="24"/>
        <v>16350.275729578707</v>
      </c>
      <c r="BA46" s="9">
        <f t="shared" si="25"/>
        <v>-177.40927156725411</v>
      </c>
      <c r="BB46" s="9">
        <f t="shared" si="57"/>
        <v>457599.26355782303</v>
      </c>
      <c r="BC46" s="9">
        <f t="shared" si="26"/>
        <v>-1140.6644867649302</v>
      </c>
      <c r="BD46" s="9">
        <f t="shared" si="27"/>
        <v>16279.676065682454</v>
      </c>
      <c r="BE46" s="9">
        <f t="shared" si="28"/>
        <v>-248.00893546350744</v>
      </c>
      <c r="BF46" s="9">
        <f t="shared" si="58"/>
        <v>455019.01346471399</v>
      </c>
      <c r="BG46" s="9">
        <f t="shared" si="29"/>
        <v>-3720.9145798739628</v>
      </c>
      <c r="BH46" s="9">
        <f t="shared" si="30"/>
        <v>16271.310702600829</v>
      </c>
      <c r="BI46" s="9">
        <f t="shared" si="31"/>
        <v>-256.37429854513175</v>
      </c>
      <c r="BJ46" s="9">
        <f t="shared" si="59"/>
        <v>454913.61704465316</v>
      </c>
      <c r="BK46" s="9">
        <f t="shared" si="32"/>
        <v>-3826.3109999347944</v>
      </c>
      <c r="BL46" s="9">
        <f t="shared" si="33"/>
        <v>16338.773932680686</v>
      </c>
      <c r="BM46" s="9">
        <f t="shared" si="34"/>
        <v>-188.91106846527509</v>
      </c>
      <c r="BN46" s="9">
        <f t="shared" si="60"/>
        <v>455739.75280140399</v>
      </c>
      <c r="BO46" s="9">
        <f t="shared" si="35"/>
        <v>-3000.1752431839705</v>
      </c>
      <c r="BP46" s="9">
        <f t="shared" si="36"/>
        <v>16338.77721055602</v>
      </c>
      <c r="BQ46" s="9">
        <f t="shared" si="37"/>
        <v>-188.90779058994121</v>
      </c>
      <c r="BR46" s="9">
        <f t="shared" si="61"/>
        <v>456288.91353278753</v>
      </c>
      <c r="BS46" s="9">
        <f t="shared" si="38"/>
        <v>-2451.0145118004293</v>
      </c>
      <c r="BV46" s="310">
        <f t="shared" si="18"/>
        <v>542.16008914634142</v>
      </c>
      <c r="BW46" s="311">
        <f t="shared" si="19"/>
        <v>27650.164546463413</v>
      </c>
      <c r="BX46" s="315">
        <f t="shared" si="39"/>
        <v>0.61830000000000029</v>
      </c>
      <c r="BY46" s="9">
        <f t="shared" si="20"/>
        <v>9274.5000000000036</v>
      </c>
      <c r="BZ46" s="263">
        <f t="shared" si="21"/>
        <v>24274.500000000004</v>
      </c>
      <c r="CA46" s="299"/>
    </row>
    <row r="47" spans="3:79" ht="17" thickBot="1">
      <c r="C47" s="264">
        <f>C46+1</f>
        <v>2046</v>
      </c>
      <c r="D47" s="265">
        <f>D46+1</f>
        <v>91</v>
      </c>
      <c r="E47" s="266">
        <f>E46+1</f>
        <v>30</v>
      </c>
      <c r="F47" s="267">
        <f>I46</f>
        <v>27650.164546463413</v>
      </c>
      <c r="G47" s="268">
        <f>IF(ISERROR(VLOOKUP(C47,'TABLES-ACTUAL &amp; FUTURE RATES'!$V$10:$X$81,2,FALSE)),0,VLOOKUP(C47,'TABLES-ACTUAL &amp; FUTURE RATES'!$V$10:$X$81,2,FALSE))</f>
        <v>0.02</v>
      </c>
      <c r="H47" s="5">
        <f t="shared" si="2"/>
        <v>553.00329092926825</v>
      </c>
      <c r="I47" s="5">
        <f t="shared" si="3"/>
        <v>28203.167837392681</v>
      </c>
      <c r="J47" s="257">
        <f>J46</f>
        <v>0.89473684210526316</v>
      </c>
      <c r="K47" s="254">
        <f>K46</f>
        <v>0.10526315789473684</v>
      </c>
      <c r="L47">
        <f t="shared" si="4"/>
        <v>2046</v>
      </c>
      <c r="M47" s="418">
        <f>IF(ISERROR(VLOOKUP(C47,'TABLES-ACTUAL &amp; FUTURE RATES'!$AB$10:$AC$81,2,FALSE)),0,VLOOKUP(C47,'TABLES-ACTUAL &amp; FUTURE RATES'!$AB$10:$AC$81,2,FALSE))</f>
        <v>1.1594202898550724E-3</v>
      </c>
      <c r="N47" s="7">
        <f t="shared" si="5"/>
        <v>51.940550880794319</v>
      </c>
      <c r="O47" s="8">
        <f>O46+N47</f>
        <v>16579.625552026755</v>
      </c>
      <c r="P47" s="8">
        <f t="shared" si="45"/>
        <v>475319.55359661469</v>
      </c>
      <c r="Q47" s="9">
        <f t="shared" si="6"/>
        <v>-11623.542285365926</v>
      </c>
      <c r="R47" s="9">
        <f>R46+Q47</f>
        <v>-168168.30503761172</v>
      </c>
      <c r="T47" s="93">
        <f>IF(ISERROR(VLOOKUP(C47,'TABLES-ACTUAL &amp; FUTURE RATES'!$AD$10:$AE$81,2,FALSE)),0,VLOOKUP(C47,'TABLES-ACTUAL &amp; FUTURE RATES'!$AD$10:$AE$81,2,FALSE))</f>
        <v>0.01</v>
      </c>
      <c r="U47" s="7">
        <f t="shared" si="7"/>
        <v>180.71357385323833</v>
      </c>
      <c r="V47" s="8">
        <f>V46+U47</f>
        <v>16530.989303431947</v>
      </c>
      <c r="W47" s="9">
        <f t="shared" si="8"/>
        <v>-11672.178533960734</v>
      </c>
      <c r="X47" s="9">
        <f>X46+W47</f>
        <v>-169357.60577297147</v>
      </c>
      <c r="Z47" s="93">
        <f>IF(ISERROR(VLOOKUP(C47,'TABLES-ACTUAL &amp; FUTURE RATES'!$AF$10:$AG$81,2,FALSE)),0,VLOOKUP(C47,'TABLES-ACTUAL &amp; FUTURE RATES'!$AF$10:$AG$81,2,FALSE))</f>
        <v>0</v>
      </c>
      <c r="AA47" s="7">
        <f t="shared" si="9"/>
        <v>34.273002243542003</v>
      </c>
      <c r="AB47" s="8">
        <f>AB46+AA47</f>
        <v>16313.949067925996</v>
      </c>
      <c r="AC47" s="9">
        <f t="shared" si="10"/>
        <v>-11889.218769466685</v>
      </c>
      <c r="AD47" s="9">
        <f>AD46+AC47</f>
        <v>-172154.8961015864</v>
      </c>
      <c r="AF47" s="93">
        <f>IF(ISERROR(VLOOKUP(C47,'TABLES-ACTUAL &amp; FUTURE RATES'!$AH$10:$AI$81,2,FALSE)),0,VLOOKUP(C47,'TABLES-ACTUAL &amp; FUTURE RATES'!$AH$10:$AI$81,2,FALSE))</f>
        <v>5.7971014492753622E-4</v>
      </c>
      <c r="AG47" s="7">
        <f t="shared" si="11"/>
        <v>42.695124955718427</v>
      </c>
      <c r="AH47" s="8">
        <f>AH46+AG47</f>
        <v>16314.005827556548</v>
      </c>
      <c r="AI47" s="24">
        <f t="shared" si="12"/>
        <v>-11889.162009836133</v>
      </c>
      <c r="AJ47" s="9">
        <f>AJ46+AI47</f>
        <v>-172260.2357620167</v>
      </c>
      <c r="AL47" s="93">
        <f>IF(ISERROR(VLOOKUP(C47,'TABLES-ACTUAL &amp; FUTURE RATES'!$AJ$10:$AK$81,2,FALSE)),0,VLOOKUP(C47,'TABLES-ACTUAL &amp; FUTURE RATES'!$AJ$10:$AK$81,2,FALSE))</f>
        <v>5.7971014492753622E-4</v>
      </c>
      <c r="AM47" s="7">
        <f t="shared" si="13"/>
        <v>42.872145178048477</v>
      </c>
      <c r="AN47" s="8">
        <f>AN46+AM47</f>
        <v>16381.646077858735</v>
      </c>
      <c r="AO47" s="9">
        <f t="shared" si="14"/>
        <v>-11821.521759533945</v>
      </c>
      <c r="AP47" s="9">
        <f>AP46+AO47</f>
        <v>-171366.45975496367</v>
      </c>
      <c r="AR47" s="32">
        <f>IF(ISERROR(VLOOKUP(C47,'TABLES-ACTUAL &amp; FUTURE RATES'!$AL$10:$AN$81,3,FALSE)),0,VLOOKUP(C47,'TABLES-ACTUAL &amp; FUTURE RATES'!$AL$10:$AN$81,3,FALSE))</f>
        <v>0.25</v>
      </c>
      <c r="AS47" s="93">
        <f>IF(ISERROR(VLOOKUP(C47,'TABLES-ACTUAL &amp; FUTURE RATES'!$AL$10:$AM$81,2,FALSE)),0,VLOOKUP(C47,'TABLES-ACTUAL &amp; FUTURE RATES'!$AL$10:$AM$81,2,FALSE))</f>
        <v>2.8985507246376811E-4</v>
      </c>
      <c r="AT47" s="7">
        <f t="shared" si="15"/>
        <v>38.634789742733531</v>
      </c>
      <c r="AU47" s="8">
        <f>AU46+AT47</f>
        <v>16377.412000298753</v>
      </c>
      <c r="AV47" s="9">
        <f t="shared" si="16"/>
        <v>-11825.755837093928</v>
      </c>
      <c r="AW47" s="9">
        <f>AW46+AV47</f>
        <v>-170821.53310114008</v>
      </c>
      <c r="AY47">
        <f t="shared" si="17"/>
        <v>91</v>
      </c>
      <c r="AZ47" s="9">
        <f t="shared" si="24"/>
        <v>16530.989303431947</v>
      </c>
      <c r="BA47" s="9">
        <f t="shared" si="25"/>
        <v>-48.636248594808421</v>
      </c>
      <c r="BB47" s="9">
        <f t="shared" si="57"/>
        <v>474130.25286125496</v>
      </c>
      <c r="BC47" s="9">
        <f t="shared" si="26"/>
        <v>-1189.3007353597204</v>
      </c>
      <c r="BD47" s="9">
        <f t="shared" si="27"/>
        <v>16313.949067925996</v>
      </c>
      <c r="BE47" s="9">
        <f t="shared" si="28"/>
        <v>-265.6764841007589</v>
      </c>
      <c r="BF47" s="9">
        <f t="shared" si="58"/>
        <v>471332.96253263997</v>
      </c>
      <c r="BG47" s="9">
        <f t="shared" si="29"/>
        <v>-3986.5910639747162</v>
      </c>
      <c r="BH47" s="9">
        <f t="shared" si="30"/>
        <v>16314.005827556548</v>
      </c>
      <c r="BI47" s="9">
        <f t="shared" si="31"/>
        <v>-265.61972447020707</v>
      </c>
      <c r="BJ47" s="9">
        <f t="shared" si="59"/>
        <v>471227.6228722097</v>
      </c>
      <c r="BK47" s="9">
        <f t="shared" si="32"/>
        <v>-4091.9307244049851</v>
      </c>
      <c r="BL47" s="9">
        <f t="shared" si="33"/>
        <v>16381.646077858735</v>
      </c>
      <c r="BM47" s="9">
        <f t="shared" si="34"/>
        <v>-197.97947416801981</v>
      </c>
      <c r="BN47" s="9">
        <f t="shared" si="60"/>
        <v>472121.39887926274</v>
      </c>
      <c r="BO47" s="9">
        <f t="shared" si="35"/>
        <v>-3198.1547173519502</v>
      </c>
      <c r="BP47" s="9">
        <f t="shared" si="36"/>
        <v>16377.412000298753</v>
      </c>
      <c r="BQ47" s="9">
        <f t="shared" si="37"/>
        <v>-202.21355172800213</v>
      </c>
      <c r="BR47" s="9">
        <f t="shared" si="61"/>
        <v>472666.32553308626</v>
      </c>
      <c r="BS47" s="9">
        <f t="shared" si="38"/>
        <v>-2653.228063528426</v>
      </c>
      <c r="BV47" s="310">
        <f t="shared" si="18"/>
        <v>553.00329092926825</v>
      </c>
      <c r="BW47" s="311">
        <f t="shared" si="19"/>
        <v>28203.167837392681</v>
      </c>
      <c r="BX47" s="316">
        <f t="shared" si="39"/>
        <v>0.63830000000000031</v>
      </c>
      <c r="BY47" s="317">
        <f t="shared" si="20"/>
        <v>9574.5000000000055</v>
      </c>
      <c r="BZ47" s="269">
        <f t="shared" si="21"/>
        <v>24574.500000000007</v>
      </c>
      <c r="CA47" s="299"/>
    </row>
    <row r="48" spans="3:79" ht="27" customHeight="1" thickBot="1">
      <c r="C48" s="716" t="s">
        <v>7</v>
      </c>
      <c r="D48" s="717"/>
      <c r="E48" s="718"/>
      <c r="F48" s="34">
        <f>SUM(I18:I47)</f>
        <v>643487.85863422637</v>
      </c>
      <c r="I48" s="3">
        <f>SUM(I18:I47)</f>
        <v>643487.85863422637</v>
      </c>
      <c r="J48" s="3"/>
      <c r="K48" s="3"/>
      <c r="L48" s="3"/>
      <c r="M48" s="709" t="s">
        <v>8</v>
      </c>
      <c r="N48" s="709"/>
      <c r="O48" s="13">
        <f>SUM(O18:O47)</f>
        <v>475319.55359661469</v>
      </c>
      <c r="P48" s="28"/>
      <c r="R48" s="6">
        <f>O48-$F$48</f>
        <v>-168168.30503761169</v>
      </c>
      <c r="T48" s="709" t="s">
        <v>8</v>
      </c>
      <c r="U48" s="709"/>
      <c r="V48" s="6">
        <f>SUM(V18:V47)</f>
        <v>474130.25286125496</v>
      </c>
      <c r="X48" s="6">
        <f>V48-$F$48</f>
        <v>-169357.60577297141</v>
      </c>
      <c r="Z48" s="702" t="s">
        <v>8</v>
      </c>
      <c r="AA48" s="702"/>
      <c r="AB48" s="6">
        <f>SUM(AB18:AB47)</f>
        <v>471332.96253263997</v>
      </c>
      <c r="AD48" s="6">
        <f>AB48-$F$48</f>
        <v>-172154.8961015864</v>
      </c>
      <c r="AF48" s="702" t="s">
        <v>8</v>
      </c>
      <c r="AG48" s="702"/>
      <c r="AH48" s="6">
        <f>SUM(AH18:AH47)</f>
        <v>471227.6228722097</v>
      </c>
      <c r="AJ48" s="6">
        <f>AH48-$F$48</f>
        <v>-172260.23576201667</v>
      </c>
      <c r="AL48" s="702" t="s">
        <v>8</v>
      </c>
      <c r="AM48" s="702"/>
      <c r="AN48" s="6">
        <f>SUM(AN18:AN47)</f>
        <v>472121.39887926274</v>
      </c>
      <c r="AP48" s="6">
        <f>AN48-$F$48</f>
        <v>-171366.45975496364</v>
      </c>
      <c r="AS48" s="702" t="s">
        <v>8</v>
      </c>
      <c r="AT48" s="702"/>
      <c r="AU48" s="6">
        <f>SUM(AU18:AU47)</f>
        <v>472666.32553308626</v>
      </c>
      <c r="AW48" s="6">
        <f>AU48-$F$48</f>
        <v>-170821.53310114011</v>
      </c>
    </row>
    <row r="49" spans="3:56" ht="16" thickBot="1">
      <c r="H49" t="s">
        <v>56</v>
      </c>
      <c r="I49" s="140">
        <v>0.04</v>
      </c>
      <c r="J49" s="140"/>
      <c r="K49" s="140"/>
      <c r="L49" s="140"/>
      <c r="M49" s="702" t="s">
        <v>10</v>
      </c>
      <c r="N49" s="703"/>
      <c r="O49" s="15">
        <f>O48/$F$48</f>
        <v>0.73866126177649838</v>
      </c>
      <c r="P49" s="229"/>
      <c r="R49" s="14"/>
      <c r="T49" s="702" t="s">
        <v>10</v>
      </c>
      <c r="U49" s="703"/>
      <c r="V49" s="15">
        <f>V48/$F$48</f>
        <v>0.73681305171409883</v>
      </c>
      <c r="Z49" s="702" t="s">
        <v>10</v>
      </c>
      <c r="AA49" s="703"/>
      <c r="AB49" s="15">
        <f>AB48/$F$48</f>
        <v>0.73246597617711495</v>
      </c>
      <c r="AF49" s="702" t="s">
        <v>10</v>
      </c>
      <c r="AG49" s="703"/>
      <c r="AH49" s="15">
        <f>AH48/$F$48</f>
        <v>0.73230227509244517</v>
      </c>
      <c r="AL49" s="702" t="s">
        <v>10</v>
      </c>
      <c r="AM49" s="703"/>
      <c r="AN49" s="15">
        <f>AN48/$F$48</f>
        <v>0.73369123060273256</v>
      </c>
      <c r="AS49" s="702" t="s">
        <v>10</v>
      </c>
      <c r="AT49" s="703"/>
      <c r="AU49" s="15">
        <f>AU48/$F$48</f>
        <v>0.73453806344738026</v>
      </c>
    </row>
    <row r="50" spans="3:56">
      <c r="C50" s="136"/>
      <c r="D50" s="137" t="s">
        <v>0</v>
      </c>
      <c r="E50" s="136"/>
      <c r="F50" s="136" t="s">
        <v>54</v>
      </c>
      <c r="G50" s="136" t="s">
        <v>58</v>
      </c>
      <c r="H50" s="136" t="s">
        <v>55</v>
      </c>
      <c r="I50" s="136" t="s">
        <v>57</v>
      </c>
      <c r="J50" s="167"/>
      <c r="K50" s="167"/>
      <c r="L50" s="167"/>
      <c r="M50" s="167"/>
      <c r="N50" s="167"/>
      <c r="O50" s="167"/>
      <c r="P50" s="167"/>
      <c r="Q50" s="167"/>
      <c r="R50" s="167"/>
      <c r="AU50" s="3"/>
      <c r="AV50" s="20"/>
      <c r="BB50" s="3"/>
      <c r="BC50" s="20"/>
    </row>
    <row r="51" spans="3:56">
      <c r="C51" s="136" t="s">
        <v>52</v>
      </c>
      <c r="D51" s="136">
        <f>'MASTER SUMMARY'!M9</f>
        <v>1980</v>
      </c>
      <c r="E51" s="136">
        <v>1997</v>
      </c>
      <c r="F51" s="136">
        <f>IF(AND(D51&lt;E51,D52&lt;E51),D53,IF(D51&gt;E51,0,IF(AND(E51&lt;D51,D52&gt;E52),D52-D51,E51-D51)))</f>
        <v>17</v>
      </c>
      <c r="G51" s="227">
        <f>F51/D53</f>
        <v>0.89473684210526316</v>
      </c>
      <c r="H51" s="138">
        <f>F18*G51</f>
        <v>13421.052631578947</v>
      </c>
      <c r="I51" s="138">
        <f>H51*I49</f>
        <v>536.84210526315792</v>
      </c>
      <c r="J51" s="168"/>
      <c r="K51" s="168"/>
      <c r="L51" s="168"/>
      <c r="M51" s="168"/>
      <c r="N51" s="168"/>
      <c r="O51" s="168"/>
      <c r="P51" s="168"/>
      <c r="Q51" s="168"/>
      <c r="R51" s="168"/>
      <c r="AA51" s="699" t="s">
        <v>9</v>
      </c>
      <c r="AB51" s="700"/>
      <c r="AC51" s="701"/>
      <c r="AE51" s="17">
        <f>X48-$R$48</f>
        <v>-1189.3007353597204</v>
      </c>
      <c r="AG51" s="699" t="s">
        <v>9</v>
      </c>
      <c r="AH51" s="700"/>
      <c r="AI51" s="701"/>
      <c r="AK51" s="17">
        <f>AD48-$R$48</f>
        <v>-3986.5910639747162</v>
      </c>
      <c r="AM51" s="699" t="s">
        <v>9</v>
      </c>
      <c r="AN51" s="700"/>
      <c r="AO51" s="701"/>
      <c r="AQ51" s="17">
        <f>AJ48-$R$48</f>
        <v>-4091.9307244049851</v>
      </c>
      <c r="AS51" s="699" t="s">
        <v>9</v>
      </c>
      <c r="AT51" s="700"/>
      <c r="AU51" s="701"/>
      <c r="AW51" s="17">
        <f>AP48-$R$48</f>
        <v>-3198.1547173519502</v>
      </c>
      <c r="AZ51" s="699" t="s">
        <v>9</v>
      </c>
      <c r="BA51" s="700"/>
      <c r="BB51" s="701"/>
      <c r="BD51" s="17">
        <f>AW48-$R$48</f>
        <v>-2653.228063528426</v>
      </c>
    </row>
    <row r="52" spans="3:56">
      <c r="C52" s="136" t="s">
        <v>53</v>
      </c>
      <c r="D52" s="136">
        <f>'MASTER SUMMARY'!M10</f>
        <v>1999</v>
      </c>
      <c r="E52" s="136">
        <v>1997</v>
      </c>
      <c r="F52" s="136">
        <f>IF(AND(D51&lt;E51,D52&lt;E52),0,IF(D52&gt;E52,D53-F51,IF(AND(E52&lt;D52,D53&gt;E53),D53-D52,E52-D52)))</f>
        <v>2</v>
      </c>
      <c r="G52" s="227">
        <f>F52/D53</f>
        <v>0.10526315789473684</v>
      </c>
      <c r="H52" s="138">
        <f>F18*G52</f>
        <v>1578.9473684210525</v>
      </c>
      <c r="I52" s="138">
        <f>H52*I49</f>
        <v>63.157894736842103</v>
      </c>
      <c r="J52" s="168"/>
      <c r="K52" s="168"/>
      <c r="L52" s="168"/>
      <c r="M52" s="168"/>
      <c r="N52" s="168"/>
      <c r="O52" s="168"/>
      <c r="P52" s="168"/>
      <c r="Q52" s="168">
        <f>I52+I51</f>
        <v>600</v>
      </c>
      <c r="R52" s="168"/>
      <c r="AE52" s="18">
        <f>AE51/$R$48*-1</f>
        <v>-7.0720861169037011E-3</v>
      </c>
      <c r="AK52" s="18">
        <f>AK51/$R$48*-1</f>
        <v>-2.3705959711511009E-2</v>
      </c>
      <c r="AQ52" s="18">
        <f>AQ51/$R$48*-1</f>
        <v>-2.4332353968185647E-2</v>
      </c>
      <c r="AW52" s="18">
        <f>AW51/$R$48*-1</f>
        <v>-1.9017583108997066E-2</v>
      </c>
      <c r="BD52" s="18">
        <f>BD51/$R$48*-1</f>
        <v>-1.5777218322650145E-2</v>
      </c>
    </row>
    <row r="53" spans="3:56">
      <c r="C53" s="136" t="s">
        <v>54</v>
      </c>
      <c r="D53" s="136">
        <f>D52-D51</f>
        <v>19</v>
      </c>
      <c r="E53" s="136"/>
      <c r="F53" s="136"/>
      <c r="G53" s="228"/>
      <c r="H53" s="139">
        <f>SUM(H51:H52)</f>
        <v>15000</v>
      </c>
      <c r="I53" s="138">
        <f>H53+(H53/100*G52)</f>
        <v>15015.78947368421</v>
      </c>
      <c r="J53" s="168"/>
      <c r="K53" s="168"/>
      <c r="L53" s="168"/>
      <c r="M53" s="168"/>
      <c r="N53" s="168"/>
      <c r="O53" s="168"/>
      <c r="P53" s="168"/>
      <c r="Q53" s="168"/>
      <c r="R53" s="168"/>
    </row>
    <row r="54" spans="3:56">
      <c r="D54" s="225"/>
      <c r="E54" s="225"/>
      <c r="F54" s="225"/>
      <c r="H54" s="3">
        <f>H53/100*4</f>
        <v>600</v>
      </c>
      <c r="Q54" s="38">
        <f>I51+I52</f>
        <v>600</v>
      </c>
      <c r="U54" s="723" t="s">
        <v>46</v>
      </c>
      <c r="V54" s="723"/>
      <c r="W54" s="723"/>
      <c r="X54" s="723"/>
      <c r="Y54" s="723"/>
      <c r="AB54" s="723" t="s">
        <v>13</v>
      </c>
      <c r="AC54" s="723"/>
      <c r="AD54" s="723"/>
      <c r="AE54" s="723"/>
      <c r="AH54" s="723" t="s">
        <v>13</v>
      </c>
      <c r="AI54" s="723"/>
      <c r="AJ54" s="723"/>
      <c r="AK54" s="723"/>
      <c r="AN54" s="723" t="s">
        <v>13</v>
      </c>
      <c r="AO54" s="723"/>
      <c r="AP54" s="723"/>
      <c r="AQ54" s="723"/>
      <c r="AT54" s="723" t="s">
        <v>13</v>
      </c>
      <c r="AU54" s="723"/>
      <c r="AV54" s="723"/>
      <c r="AW54" s="723"/>
      <c r="BA54" s="723" t="s">
        <v>13</v>
      </c>
      <c r="BB54" s="723"/>
      <c r="BC54" s="723"/>
      <c r="BD54" s="723"/>
    </row>
    <row r="55" spans="3:56" ht="80">
      <c r="T55" s="132" t="s">
        <v>45</v>
      </c>
      <c r="U55" s="131" t="s">
        <v>0</v>
      </c>
      <c r="V55" s="135" t="s">
        <v>49</v>
      </c>
      <c r="W55" s="135"/>
      <c r="X55" s="135" t="s">
        <v>51</v>
      </c>
      <c r="Y55" s="135" t="s">
        <v>50</v>
      </c>
      <c r="AB55" s="56" t="s">
        <v>20</v>
      </c>
      <c r="AC55" s="55" t="s">
        <v>22</v>
      </c>
      <c r="AD55" s="55" t="s">
        <v>21</v>
      </c>
      <c r="AE55" s="55" t="s">
        <v>23</v>
      </c>
      <c r="AH55" s="56" t="s">
        <v>20</v>
      </c>
      <c r="AI55" s="55" t="s">
        <v>22</v>
      </c>
      <c r="AJ55" s="55" t="s">
        <v>21</v>
      </c>
      <c r="AK55" s="55" t="s">
        <v>23</v>
      </c>
      <c r="AN55" s="56" t="s">
        <v>20</v>
      </c>
      <c r="AO55" s="55" t="s">
        <v>22</v>
      </c>
      <c r="AP55" s="55" t="s">
        <v>21</v>
      </c>
      <c r="AQ55" s="55" t="s">
        <v>23</v>
      </c>
      <c r="AT55" s="56" t="s">
        <v>20</v>
      </c>
      <c r="AU55" s="55" t="s">
        <v>22</v>
      </c>
      <c r="AV55" s="55" t="s">
        <v>21</v>
      </c>
      <c r="AW55" s="55" t="s">
        <v>23</v>
      </c>
      <c r="BA55" s="56" t="s">
        <v>20</v>
      </c>
      <c r="BB55" s="55" t="s">
        <v>22</v>
      </c>
      <c r="BC55" s="55" t="s">
        <v>21</v>
      </c>
      <c r="BD55" s="55" t="s">
        <v>23</v>
      </c>
    </row>
    <row r="56" spans="3:56">
      <c r="S56">
        <v>60</v>
      </c>
      <c r="T56" s="45">
        <f>D22</f>
        <v>66</v>
      </c>
      <c r="U56" s="133">
        <f>C22</f>
        <v>2021</v>
      </c>
      <c r="V56" s="64">
        <f>O22/$I$22</f>
        <v>0.89168990703668316</v>
      </c>
      <c r="W56" s="64"/>
      <c r="X56" s="65">
        <f>Q22</f>
        <v>-1861.9264714588971</v>
      </c>
      <c r="Y56" s="65">
        <f>R22</f>
        <v>-5808.8817309030092</v>
      </c>
      <c r="AB56" s="57">
        <v>5</v>
      </c>
      <c r="AC56" s="59">
        <f>V22/$I$22</f>
        <v>0.89629469928361671</v>
      </c>
      <c r="AD56" s="58">
        <f>W22</f>
        <v>-1782.7668627321436</v>
      </c>
      <c r="AE56" s="58">
        <f>X22</f>
        <v>-5790.9446441033742</v>
      </c>
      <c r="AH56" s="57">
        <v>5</v>
      </c>
      <c r="AI56" s="59">
        <f>AB22/$I$22</f>
        <v>0.88928251810415015</v>
      </c>
      <c r="AJ56" s="58">
        <f>AC22</f>
        <v>-1903.311175856652</v>
      </c>
      <c r="AK56" s="58">
        <f>AD22</f>
        <v>-5911.4889572278826</v>
      </c>
      <c r="AN56" s="57">
        <v>5</v>
      </c>
      <c r="AO56" s="59">
        <f>AH22/$I$22</f>
        <v>0.888822702944841</v>
      </c>
      <c r="AP56" s="58">
        <f>AI22</f>
        <v>-1911.2157209795696</v>
      </c>
      <c r="AQ56" s="58">
        <f>AJ22</f>
        <v>-5919.3935023508002</v>
      </c>
      <c r="AT56" s="57">
        <v>5</v>
      </c>
      <c r="AU56" s="59">
        <f>AN22/$I$22</f>
        <v>0.888822702944841</v>
      </c>
      <c r="AV56" s="58">
        <f>AO22</f>
        <v>-1911.2157209795696</v>
      </c>
      <c r="AW56" s="58">
        <f>AP22</f>
        <v>-5919.3935023508002</v>
      </c>
      <c r="BA56" s="57">
        <v>5</v>
      </c>
      <c r="BB56" s="59">
        <f>AU22/$I$22</f>
        <v>0.88928251810415015</v>
      </c>
      <c r="BC56" s="58">
        <f>AV22</f>
        <v>-1903.311175856652</v>
      </c>
      <c r="BD56" s="58">
        <f>AW22</f>
        <v>-5911.4889572278826</v>
      </c>
    </row>
    <row r="57" spans="3:56">
      <c r="S57">
        <v>65</v>
      </c>
      <c r="T57" s="134">
        <f>D27</f>
        <v>71</v>
      </c>
      <c r="U57" s="133">
        <f>C27</f>
        <v>2026</v>
      </c>
      <c r="V57" s="64">
        <f>O27/$I$27</f>
        <v>0.82040150034672843</v>
      </c>
      <c r="W57" s="64"/>
      <c r="X57" s="65">
        <f>Q27</f>
        <v>-3408.7657764830547</v>
      </c>
      <c r="Y57" s="65">
        <f>R27</f>
        <v>-19689.70249619797</v>
      </c>
      <c r="AB57" s="57">
        <v>10</v>
      </c>
      <c r="AC57" s="59">
        <f>V27/$I$27</f>
        <v>0.82038306109108594</v>
      </c>
      <c r="AD57" s="58">
        <f>W27</f>
        <v>-3409.1157521437617</v>
      </c>
      <c r="AE57" s="58">
        <f>X27</f>
        <v>-19513.660130820543</v>
      </c>
      <c r="AH57" s="57">
        <v>10</v>
      </c>
      <c r="AI57" s="59">
        <f>AB27/$I$27</f>
        <v>0.8156508758239247</v>
      </c>
      <c r="AJ57" s="58">
        <f>AC27</f>
        <v>-3498.9322663007188</v>
      </c>
      <c r="AK57" s="58">
        <f>AD27</f>
        <v>-20144.988748701042</v>
      </c>
      <c r="AN57" s="57">
        <v>10</v>
      </c>
      <c r="AO57" s="59">
        <f>AH27/$I$27</f>
        <v>0.81565153070446572</v>
      </c>
      <c r="AP57" s="58">
        <f>AI27</f>
        <v>-3498.919836718178</v>
      </c>
      <c r="AQ57" s="58">
        <f>AJ27</f>
        <v>-20168.790057944821</v>
      </c>
      <c r="AT57" s="57">
        <v>10</v>
      </c>
      <c r="AU57" s="59">
        <f>AN27/$I$27</f>
        <v>0.81649567194755091</v>
      </c>
      <c r="AV57" s="58">
        <f>AO27</f>
        <v>-3482.8981005371861</v>
      </c>
      <c r="AW57" s="58">
        <f>AP27</f>
        <v>-20128.867471178582</v>
      </c>
      <c r="BA57" s="57">
        <v>10</v>
      </c>
      <c r="BB57" s="59">
        <f>AU27/$I$27</f>
        <v>0.81797504917981068</v>
      </c>
      <c r="BC57" s="58">
        <f>AV27</f>
        <v>-3454.8196339042752</v>
      </c>
      <c r="BD57" s="58">
        <f>AW27</f>
        <v>-20005.207063135844</v>
      </c>
    </row>
    <row r="58" spans="3:56">
      <c r="T58" s="134">
        <f>D32</f>
        <v>76</v>
      </c>
      <c r="U58" s="133">
        <f>C32</f>
        <v>2031</v>
      </c>
      <c r="V58" s="64">
        <f>O32/$I$32</f>
        <v>0.75481242577692931</v>
      </c>
      <c r="W58" s="64"/>
      <c r="X58" s="65">
        <f>Q32</f>
        <v>-5137.9961252874509</v>
      </c>
      <c r="Y58" s="65">
        <f>R32</f>
        <v>-41844.542786538645</v>
      </c>
      <c r="AB58" s="57">
        <v>15</v>
      </c>
      <c r="AC58" s="59">
        <f>V32/$I$32</f>
        <v>0.75090075559200919</v>
      </c>
      <c r="AD58" s="58">
        <f>W32</f>
        <v>-5219.966617948865</v>
      </c>
      <c r="AE58" s="58">
        <f>X32</f>
        <v>-41914.259052726906</v>
      </c>
      <c r="AH58" s="57">
        <v>15</v>
      </c>
      <c r="AI58" s="59">
        <f>AB32/$I$32</f>
        <v>0.74889030190210837</v>
      </c>
      <c r="AJ58" s="58">
        <f>AC32</f>
        <v>-5262.0964171506057</v>
      </c>
      <c r="AK58" s="58">
        <f>AD32</f>
        <v>-42852.11482708258</v>
      </c>
      <c r="AN58" s="57">
        <v>15</v>
      </c>
      <c r="AO58" s="59">
        <f>AH32/$I$32</f>
        <v>0.74850407998840773</v>
      </c>
      <c r="AP58" s="58">
        <f>AI32</f>
        <v>-5270.189839920431</v>
      </c>
      <c r="AQ58" s="58">
        <f>AJ32</f>
        <v>-42900.044601439891</v>
      </c>
      <c r="AT58" s="57">
        <v>15</v>
      </c>
      <c r="AU58" s="59">
        <f>AN32/$I$32</f>
        <v>0.74966635319711172</v>
      </c>
      <c r="AV58" s="58">
        <f>AO32</f>
        <v>-5245.8339757957128</v>
      </c>
      <c r="AW58" s="58">
        <f>AP32</f>
        <v>-42755.075776081576</v>
      </c>
      <c r="BA58" s="57">
        <v>15</v>
      </c>
      <c r="BB58" s="59">
        <f>AU32/$I$32</f>
        <v>0.75160763798628671</v>
      </c>
      <c r="BC58" s="58">
        <f>AV32</f>
        <v>-5205.1536364413787</v>
      </c>
      <c r="BD58" s="58">
        <f>AW32</f>
        <v>-42453.37875737944</v>
      </c>
    </row>
    <row r="59" spans="3:56">
      <c r="T59" s="134">
        <f>D37</f>
        <v>81</v>
      </c>
      <c r="U59" s="133">
        <f>C37</f>
        <v>2036</v>
      </c>
      <c r="V59" s="64">
        <f>O37/$I$37</f>
        <v>0.69446703579462099</v>
      </c>
      <c r="W59" s="64"/>
      <c r="X59" s="65">
        <f>Q37</f>
        <v>-7068.9392240019079</v>
      </c>
      <c r="Y59" s="65">
        <f>R37</f>
        <v>-73242.555808669102</v>
      </c>
      <c r="AB59" s="57">
        <v>20</v>
      </c>
      <c r="AC59" s="59">
        <f>V37/$I$37</f>
        <v>0.69343988691803926</v>
      </c>
      <c r="AD59" s="58">
        <f>W37</f>
        <v>-7092.7037726208819</v>
      </c>
      <c r="AE59" s="58">
        <f>X37</f>
        <v>-73406.44415441461</v>
      </c>
      <c r="AH59" s="57">
        <v>20</v>
      </c>
      <c r="AI59" s="59">
        <f>AB37/$I$37</f>
        <v>0.68688298511110424</v>
      </c>
      <c r="AJ59" s="58">
        <f>AC37</f>
        <v>-7244.4070118818854</v>
      </c>
      <c r="AK59" s="58">
        <f>AD37</f>
        <v>-75024.1181851562</v>
      </c>
      <c r="AN59" s="57">
        <v>20</v>
      </c>
      <c r="AO59" s="59">
        <f>AH37/$I$37</f>
        <v>0.68688445576189405</v>
      </c>
      <c r="AP59" s="58">
        <f>AI37</f>
        <v>-7244.372986286382</v>
      </c>
      <c r="AQ59" s="58">
        <f>AJ37</f>
        <v>-75088.261010116083</v>
      </c>
      <c r="AT59" s="57">
        <v>20</v>
      </c>
      <c r="AU59" s="59">
        <f>AN37/$I$37</f>
        <v>0.68866302667803447</v>
      </c>
      <c r="AV59" s="58">
        <f>AO37</f>
        <v>-7203.2232211719274</v>
      </c>
      <c r="AW59" s="58">
        <f>AP37</f>
        <v>-74763.139389775271</v>
      </c>
      <c r="BA59" s="57">
        <v>20</v>
      </c>
      <c r="BB59" s="59">
        <f>AU37/$I$37</f>
        <v>0.68973251738679731</v>
      </c>
      <c r="BC59" s="58">
        <f>AV37</f>
        <v>-7178.4790341067401</v>
      </c>
      <c r="BD59" s="58">
        <f>AW37</f>
        <v>-74313.845398031248</v>
      </c>
    </row>
    <row r="60" spans="3:56">
      <c r="T60" s="134">
        <f>D42</f>
        <v>86</v>
      </c>
      <c r="U60" s="133">
        <f>C42</f>
        <v>2041</v>
      </c>
      <c r="V60" s="64">
        <f>O42/$I$42</f>
        <v>0.63894611076248709</v>
      </c>
      <c r="W60" s="64"/>
      <c r="X60" s="65">
        <f>Q42</f>
        <v>-9222.9331467367047</v>
      </c>
      <c r="Y60" s="65">
        <f>R42</f>
        <v>-114955.47252679155</v>
      </c>
      <c r="AB60" s="57">
        <v>25</v>
      </c>
      <c r="AC60" s="59">
        <f>V42/$I$42</f>
        <v>0.63470902769722104</v>
      </c>
      <c r="AD60" s="58">
        <f>W42</f>
        <v>-9331.1672220727869</v>
      </c>
      <c r="AE60" s="58">
        <f>X42</f>
        <v>-115490.71117493574</v>
      </c>
      <c r="AH60" s="57">
        <v>25</v>
      </c>
      <c r="AI60" s="59">
        <f>AB42/$I$42</f>
        <v>0.63066199196029571</v>
      </c>
      <c r="AJ60" s="58">
        <f>AC42</f>
        <v>-9434.5466376025342</v>
      </c>
      <c r="AK60" s="58">
        <f>AD42</f>
        <v>-117722.44541646479</v>
      </c>
      <c r="AN60" s="57">
        <v>25</v>
      </c>
      <c r="AO60" s="59">
        <f>AH42/$I$42</f>
        <v>0.63033758690349473</v>
      </c>
      <c r="AP60" s="58">
        <f>AI42</f>
        <v>-9442.8333954537175</v>
      </c>
      <c r="AQ60" s="58">
        <f>AJ42</f>
        <v>-117811.25015084373</v>
      </c>
      <c r="AT60" s="57">
        <v>25</v>
      </c>
      <c r="AU60" s="59">
        <f>AN42/$I$42</f>
        <v>0.6326237829546203</v>
      </c>
      <c r="AV60" s="58">
        <f>AO42</f>
        <v>-9384.4337106188759</v>
      </c>
      <c r="AW60" s="58">
        <f>AP42</f>
        <v>-117237.12378283183</v>
      </c>
      <c r="BA60" s="57">
        <v>25</v>
      </c>
      <c r="BB60" s="59">
        <f>AU42/$I$42</f>
        <v>0.63295118556180574</v>
      </c>
      <c r="BC60" s="58">
        <f>AV42</f>
        <v>-9376.070381907708</v>
      </c>
      <c r="BD60" s="58">
        <f>AW42</f>
        <v>-116704.76214852405</v>
      </c>
    </row>
    <row r="61" spans="3:56">
      <c r="T61" s="33">
        <f>D47</f>
        <v>91</v>
      </c>
      <c r="U61" s="133">
        <f>C47</f>
        <v>2046</v>
      </c>
      <c r="V61" s="64">
        <f>O47/$I$47</f>
        <v>0.58786394661825703</v>
      </c>
      <c r="W61" s="64"/>
      <c r="X61" s="65">
        <f>Q43</f>
        <v>-9682.5299807275096</v>
      </c>
      <c r="Y61" s="65">
        <f>R47</f>
        <v>-168168.30503761172</v>
      </c>
    </row>
    <row r="62" spans="3:56" ht="30" customHeight="1">
      <c r="D62" s="673"/>
      <c r="E62" s="673"/>
      <c r="F62" s="673"/>
      <c r="G62" s="695"/>
    </row>
    <row r="63" spans="3:56" ht="48">
      <c r="C63" s="55"/>
      <c r="D63" s="98" t="s">
        <v>27</v>
      </c>
      <c r="E63" s="98" t="s">
        <v>48</v>
      </c>
      <c r="F63" s="99" t="s">
        <v>98</v>
      </c>
      <c r="G63" s="97" t="s">
        <v>123</v>
      </c>
      <c r="H63" s="97" t="s">
        <v>118</v>
      </c>
      <c r="I63" s="97" t="s">
        <v>124</v>
      </c>
      <c r="J63" s="97" t="s">
        <v>125</v>
      </c>
      <c r="K63" s="97" t="s">
        <v>126</v>
      </c>
      <c r="M63" s="307"/>
      <c r="N63" s="307"/>
      <c r="O63" s="307"/>
      <c r="P63" s="307"/>
    </row>
    <row r="64" spans="3:56">
      <c r="C64">
        <f t="shared" ref="C64:C92" si="101">C18</f>
        <v>2017</v>
      </c>
      <c r="D64" s="273">
        <f>I18/1000</f>
        <v>15.39</v>
      </c>
      <c r="E64" s="273">
        <f t="shared" ref="E64:E93" si="102">O18/1000</f>
        <v>15.061281464530891</v>
      </c>
      <c r="F64" s="366">
        <f t="shared" ref="F64:F93" si="103">R18/1000</f>
        <v>-0.32871853546910823</v>
      </c>
      <c r="G64" s="366">
        <f t="shared" ref="G64:G93" si="104">X18/1000</f>
        <v>-0.32871853546910823</v>
      </c>
      <c r="H64" s="366">
        <f t="shared" ref="H64:H93" si="105">AD18/1000</f>
        <v>-0.32871853546910823</v>
      </c>
      <c r="I64" s="366">
        <f t="shared" ref="I64:I93" si="106">AJ18/1000</f>
        <v>-0.32871853546910823</v>
      </c>
      <c r="J64" s="366">
        <f t="shared" ref="J64:J93" si="107">AP18/1000</f>
        <v>-0.32871853546910823</v>
      </c>
      <c r="K64" s="366">
        <f t="shared" ref="K64:K93" si="108">AW18/1000</f>
        <v>-0.32871853546910823</v>
      </c>
      <c r="M64" s="273"/>
      <c r="N64" s="273"/>
      <c r="O64" s="273"/>
      <c r="P64" s="273"/>
    </row>
    <row r="65" spans="3:16">
      <c r="C65">
        <f t="shared" si="101"/>
        <v>2018</v>
      </c>
      <c r="D65" s="273">
        <f t="shared" ref="D65:D93" si="109">I19/1000</f>
        <v>16.005600000000001</v>
      </c>
      <c r="E65" s="273">
        <f t="shared" si="102"/>
        <v>15.155945811798423</v>
      </c>
      <c r="F65" s="366">
        <f t="shared" si="103"/>
        <v>-1.1783727236706854</v>
      </c>
      <c r="G65" s="366">
        <f t="shared" si="104"/>
        <v>-1.1783727236706854</v>
      </c>
      <c r="H65" s="366">
        <f t="shared" si="105"/>
        <v>-1.1783727236706854</v>
      </c>
      <c r="I65" s="366">
        <f t="shared" si="106"/>
        <v>-1.1783727236706854</v>
      </c>
      <c r="J65" s="366">
        <f t="shared" si="107"/>
        <v>-1.1783727236706854</v>
      </c>
      <c r="K65" s="366">
        <f t="shared" si="108"/>
        <v>-1.1783727236706854</v>
      </c>
      <c r="M65" s="273"/>
      <c r="N65" s="273"/>
      <c r="O65" s="273"/>
      <c r="P65" s="273"/>
    </row>
    <row r="66" spans="3:16">
      <c r="C66">
        <f t="shared" si="101"/>
        <v>2019</v>
      </c>
      <c r="D66" s="273">
        <f t="shared" si="109"/>
        <v>16.412142240000001</v>
      </c>
      <c r="E66" s="273">
        <f t="shared" si="102"/>
        <v>15.216435492092591</v>
      </c>
      <c r="F66" s="366">
        <f t="shared" si="103"/>
        <v>-2.3740794715780957</v>
      </c>
      <c r="G66" s="366">
        <f t="shared" si="104"/>
        <v>-2.394046938859665</v>
      </c>
      <c r="H66" s="366">
        <f t="shared" si="105"/>
        <v>-2.394046938859665</v>
      </c>
      <c r="I66" s="366">
        <f t="shared" si="106"/>
        <v>-2.394046938859665</v>
      </c>
      <c r="J66" s="366">
        <f t="shared" si="107"/>
        <v>-2.394046938859665</v>
      </c>
      <c r="K66" s="366">
        <f t="shared" si="108"/>
        <v>-2.394046938859665</v>
      </c>
      <c r="M66" s="273"/>
      <c r="N66" s="273"/>
      <c r="O66" s="273"/>
      <c r="P66" s="273"/>
    </row>
    <row r="67" spans="3:16">
      <c r="C67">
        <f t="shared" si="101"/>
        <v>2020</v>
      </c>
      <c r="D67" s="273">
        <f t="shared" si="109"/>
        <v>16.853628866255999</v>
      </c>
      <c r="E67" s="273">
        <f t="shared" si="102"/>
        <v>15.280753078389983</v>
      </c>
      <c r="F67" s="366">
        <f t="shared" si="103"/>
        <v>-3.946955259444112</v>
      </c>
      <c r="G67" s="366">
        <f t="shared" si="104"/>
        <v>-4.0081777813712307</v>
      </c>
      <c r="H67" s="366">
        <f t="shared" si="105"/>
        <v>-4.0081777813712307</v>
      </c>
      <c r="I67" s="366">
        <f t="shared" si="106"/>
        <v>-4.0081777813712307</v>
      </c>
      <c r="J67" s="366">
        <f t="shared" si="107"/>
        <v>-4.0081777813712307</v>
      </c>
      <c r="K67" s="366">
        <f t="shared" si="108"/>
        <v>-4.0081777813712307</v>
      </c>
      <c r="M67" s="273"/>
      <c r="N67" s="273"/>
      <c r="O67" s="273"/>
      <c r="P67" s="273"/>
    </row>
    <row r="68" spans="3:16">
      <c r="C68">
        <f t="shared" si="101"/>
        <v>2021</v>
      </c>
      <c r="D68" s="273">
        <f t="shared" si="109"/>
        <v>17.190701443581123</v>
      </c>
      <c r="E68" s="273">
        <f t="shared" si="102"/>
        <v>15.328774972122224</v>
      </c>
      <c r="F68" s="366">
        <f t="shared" si="103"/>
        <v>-5.8088817309030087</v>
      </c>
      <c r="G68" s="366">
        <f t="shared" si="104"/>
        <v>-5.7909446441033738</v>
      </c>
      <c r="H68" s="366">
        <f t="shared" si="105"/>
        <v>-5.9114889572278821</v>
      </c>
      <c r="I68" s="366">
        <f t="shared" si="106"/>
        <v>-5.9193935023508004</v>
      </c>
      <c r="J68" s="366">
        <f t="shared" si="107"/>
        <v>-5.9193935023508004</v>
      </c>
      <c r="K68" s="366">
        <f t="shared" si="108"/>
        <v>-5.9114889572278821</v>
      </c>
      <c r="M68" s="273"/>
      <c r="N68" s="273"/>
      <c r="O68" s="273"/>
      <c r="P68" s="273"/>
    </row>
    <row r="69" spans="3:16">
      <c r="C69">
        <f t="shared" si="101"/>
        <v>2022</v>
      </c>
      <c r="D69" s="273">
        <f t="shared" si="109"/>
        <v>17.534515472452746</v>
      </c>
      <c r="E69" s="273">
        <f t="shared" si="102"/>
        <v>15.376947781340489</v>
      </c>
      <c r="F69" s="366">
        <f t="shared" si="103"/>
        <v>-7.9664494220152662</v>
      </c>
      <c r="G69" s="366">
        <f t="shared" si="104"/>
        <v>-7.8850877786948272</v>
      </c>
      <c r="H69" s="366">
        <f t="shared" si="105"/>
        <v>-8.1264301824451604</v>
      </c>
      <c r="I69" s="366">
        <f t="shared" si="106"/>
        <v>-8.1343306275751814</v>
      </c>
      <c r="J69" s="366">
        <f t="shared" si="107"/>
        <v>-8.1343306275751814</v>
      </c>
      <c r="K69" s="366">
        <f t="shared" si="108"/>
        <v>-8.1105714099324935</v>
      </c>
      <c r="M69" s="273"/>
      <c r="N69" s="273"/>
      <c r="O69" s="273"/>
      <c r="P69" s="273"/>
    </row>
    <row r="70" spans="3:16">
      <c r="C70">
        <f t="shared" si="101"/>
        <v>2023</v>
      </c>
      <c r="D70" s="273">
        <f t="shared" si="109"/>
        <v>17.885205781901799</v>
      </c>
      <c r="E70" s="273">
        <f t="shared" si="102"/>
        <v>15.425271980317699</v>
      </c>
      <c r="F70" s="366">
        <f t="shared" si="103"/>
        <v>-10.426383223599368</v>
      </c>
      <c r="G70" s="366">
        <f t="shared" si="104"/>
        <v>-10.297415175708259</v>
      </c>
      <c r="H70" s="366">
        <f t="shared" si="105"/>
        <v>-10.643917822451987</v>
      </c>
      <c r="I70" s="366">
        <f t="shared" si="106"/>
        <v>-10.659760236532016</v>
      </c>
      <c r="J70" s="366">
        <f t="shared" si="107"/>
        <v>-10.651814154704317</v>
      </c>
      <c r="K70" s="366">
        <f t="shared" si="108"/>
        <v>-10.612150439026388</v>
      </c>
      <c r="M70" s="273"/>
      <c r="N70" s="273"/>
      <c r="O70" s="273"/>
      <c r="P70" s="273"/>
    </row>
    <row r="71" spans="3:16">
      <c r="C71">
        <f t="shared" si="101"/>
        <v>2024</v>
      </c>
      <c r="D71" s="273">
        <f t="shared" si="109"/>
        <v>18.242909897539839</v>
      </c>
      <c r="E71" s="273">
        <f t="shared" si="102"/>
        <v>15.473748044817249</v>
      </c>
      <c r="F71" s="366">
        <f t="shared" si="103"/>
        <v>-13.195545076321958</v>
      </c>
      <c r="G71" s="366">
        <f t="shared" si="104"/>
        <v>-13.034872207549437</v>
      </c>
      <c r="H71" s="366">
        <f t="shared" si="105"/>
        <v>-13.48675648727181</v>
      </c>
      <c r="I71" s="366">
        <f t="shared" si="106"/>
        <v>-13.50259065827797</v>
      </c>
      <c r="J71" s="366">
        <f t="shared" si="107"/>
        <v>-13.486677644491763</v>
      </c>
      <c r="K71" s="366">
        <f t="shared" si="108"/>
        <v>-13.423088395183516</v>
      </c>
      <c r="M71" s="273"/>
      <c r="N71" s="273"/>
      <c r="O71" s="273"/>
      <c r="P71" s="273"/>
    </row>
    <row r="72" spans="3:16">
      <c r="C72">
        <f t="shared" si="101"/>
        <v>2025</v>
      </c>
      <c r="D72" s="273">
        <f t="shared" si="109"/>
        <v>18.607768095490634</v>
      </c>
      <c r="E72" s="273">
        <f t="shared" si="102"/>
        <v>15.52237645209768</v>
      </c>
      <c r="F72" s="366">
        <f t="shared" si="103"/>
        <v>-16.280936719714912</v>
      </c>
      <c r="G72" s="366">
        <f t="shared" si="104"/>
        <v>-16.104544378676781</v>
      </c>
      <c r="H72" s="366">
        <f t="shared" si="105"/>
        <v>-16.646056482400322</v>
      </c>
      <c r="I72" s="366">
        <f t="shared" si="106"/>
        <v>-16.669870221226642</v>
      </c>
      <c r="J72" s="366">
        <f t="shared" si="107"/>
        <v>-16.645969370641396</v>
      </c>
      <c r="K72" s="366">
        <f t="shared" si="108"/>
        <v>-16.550387429231566</v>
      </c>
      <c r="M72" s="273"/>
      <c r="N72" s="273"/>
      <c r="O72" s="273"/>
      <c r="P72" s="273"/>
    </row>
    <row r="73" spans="3:16">
      <c r="C73">
        <f t="shared" si="101"/>
        <v>2026</v>
      </c>
      <c r="D73" s="273">
        <f t="shared" si="109"/>
        <v>18.979923457400449</v>
      </c>
      <c r="E73" s="273">
        <f t="shared" si="102"/>
        <v>15.571157680917393</v>
      </c>
      <c r="F73" s="366">
        <f t="shared" si="103"/>
        <v>-19.68970249619797</v>
      </c>
      <c r="G73" s="366">
        <f t="shared" si="104"/>
        <v>-19.513660130820544</v>
      </c>
      <c r="H73" s="366">
        <f t="shared" si="105"/>
        <v>-20.144988748701042</v>
      </c>
      <c r="I73" s="366">
        <f t="shared" si="106"/>
        <v>-20.168790057944822</v>
      </c>
      <c r="J73" s="366">
        <f t="shared" si="107"/>
        <v>-20.128867471178584</v>
      </c>
      <c r="K73" s="366">
        <f t="shared" si="108"/>
        <v>-20.005207063135845</v>
      </c>
      <c r="M73" s="273"/>
      <c r="N73" s="273"/>
      <c r="O73" s="273"/>
      <c r="P73" s="273"/>
    </row>
    <row r="74" spans="3:16">
      <c r="C74">
        <f t="shared" si="101"/>
        <v>2027</v>
      </c>
      <c r="D74" s="273">
        <f t="shared" si="109"/>
        <v>19.359521926548457</v>
      </c>
      <c r="E74" s="273">
        <f t="shared" si="102"/>
        <v>15.620092211539346</v>
      </c>
      <c r="F74" s="366">
        <f t="shared" si="103"/>
        <v>-23.429132211207076</v>
      </c>
      <c r="G74" s="366">
        <f t="shared" si="104"/>
        <v>-23.269593704311774</v>
      </c>
      <c r="H74" s="366">
        <f t="shared" si="105"/>
        <v>-23.974868314273849</v>
      </c>
      <c r="I74" s="366">
        <f t="shared" si="106"/>
        <v>-24.00668696605727</v>
      </c>
      <c r="J74" s="366">
        <f t="shared" si="107"/>
        <v>-23.950700602856447</v>
      </c>
      <c r="K74" s="366">
        <f t="shared" si="108"/>
        <v>-23.794861708939603</v>
      </c>
      <c r="M74" s="273"/>
      <c r="N74" s="273"/>
      <c r="O74" s="273"/>
      <c r="P74" s="273"/>
    </row>
    <row r="75" spans="3:16">
      <c r="C75">
        <f t="shared" si="101"/>
        <v>2028</v>
      </c>
      <c r="D75" s="273">
        <f t="shared" si="109"/>
        <v>19.746712365079425</v>
      </c>
      <c r="E75" s="273">
        <f t="shared" si="102"/>
        <v>15.669180525735793</v>
      </c>
      <c r="F75" s="366">
        <f t="shared" si="103"/>
        <v>-27.506664050550711</v>
      </c>
      <c r="G75" s="366">
        <f t="shared" si="104"/>
        <v>-27.379868056643325</v>
      </c>
      <c r="H75" s="366">
        <f t="shared" si="105"/>
        <v>-28.159244334459778</v>
      </c>
      <c r="I75" s="366">
        <f t="shared" si="106"/>
        <v>-28.191046326382288</v>
      </c>
      <c r="J75" s="366">
        <f t="shared" si="107"/>
        <v>-28.118954036181712</v>
      </c>
      <c r="K75" s="366">
        <f t="shared" si="108"/>
        <v>-27.926814269764634</v>
      </c>
      <c r="M75" s="273"/>
      <c r="N75" s="273"/>
      <c r="O75" s="273"/>
      <c r="P75" s="273"/>
    </row>
    <row r="76" spans="3:16">
      <c r="C76">
        <f t="shared" si="101"/>
        <v>2029</v>
      </c>
      <c r="D76" s="273">
        <f t="shared" si="109"/>
        <v>20.141646612381013</v>
      </c>
      <c r="E76" s="273">
        <f t="shared" si="102"/>
        <v>15.718423106793027</v>
      </c>
      <c r="F76" s="366">
        <f t="shared" si="103"/>
        <v>-31.929887556138695</v>
      </c>
      <c r="G76" s="366">
        <f t="shared" si="104"/>
        <v>-31.852157839407521</v>
      </c>
      <c r="H76" s="366">
        <f t="shared" si="105"/>
        <v>-32.689647793601793</v>
      </c>
      <c r="I76" s="366">
        <f t="shared" si="106"/>
        <v>-32.729505079442653</v>
      </c>
      <c r="J76" s="366">
        <f t="shared" si="107"/>
        <v>-32.633184240989479</v>
      </c>
      <c r="K76" s="366">
        <f t="shared" si="108"/>
        <v>-32.408679115984249</v>
      </c>
      <c r="M76" s="273"/>
      <c r="N76" s="273"/>
      <c r="O76" s="273"/>
      <c r="P76" s="273"/>
    </row>
    <row r="77" spans="3:16">
      <c r="C77">
        <f t="shared" si="101"/>
        <v>2030</v>
      </c>
      <c r="D77" s="273">
        <f t="shared" si="109"/>
        <v>20.544479544628633</v>
      </c>
      <c r="E77" s="273">
        <f t="shared" si="102"/>
        <v>15.767820439516131</v>
      </c>
      <c r="F77" s="366">
        <f t="shared" si="103"/>
        <v>-36.706546661251195</v>
      </c>
      <c r="G77" s="366">
        <f t="shared" si="104"/>
        <v>-36.694292434778042</v>
      </c>
      <c r="H77" s="366">
        <f t="shared" si="105"/>
        <v>-37.590018409931972</v>
      </c>
      <c r="I77" s="366">
        <f t="shared" si="106"/>
        <v>-37.629854761519461</v>
      </c>
      <c r="J77" s="366">
        <f t="shared" si="107"/>
        <v>-37.509241800285864</v>
      </c>
      <c r="K77" s="366">
        <f t="shared" si="108"/>
        <v>-37.248225120938066</v>
      </c>
      <c r="M77" s="273"/>
      <c r="N77" s="273"/>
      <c r="O77" s="273"/>
      <c r="P77" s="273"/>
    </row>
    <row r="78" spans="3:16">
      <c r="C78">
        <f t="shared" si="101"/>
        <v>2031</v>
      </c>
      <c r="D78" s="273">
        <f t="shared" si="109"/>
        <v>20.955369135521206</v>
      </c>
      <c r="E78" s="273">
        <f t="shared" si="102"/>
        <v>15.817373010233755</v>
      </c>
      <c r="F78" s="366">
        <f t="shared" si="103"/>
        <v>-41.844542786538646</v>
      </c>
      <c r="G78" s="366">
        <f t="shared" si="104"/>
        <v>-41.914259052726905</v>
      </c>
      <c r="H78" s="366">
        <f t="shared" si="105"/>
        <v>-42.85211482708258</v>
      </c>
      <c r="I78" s="366">
        <f t="shared" si="106"/>
        <v>-42.900044601439895</v>
      </c>
      <c r="J78" s="366">
        <f t="shared" si="107"/>
        <v>-42.755075776081576</v>
      </c>
      <c r="K78" s="366">
        <f t="shared" si="108"/>
        <v>-42.45337875737944</v>
      </c>
      <c r="M78" s="273"/>
      <c r="N78" s="273"/>
      <c r="O78" s="273"/>
      <c r="P78" s="273"/>
    </row>
    <row r="79" spans="3:16">
      <c r="C79">
        <f t="shared" si="101"/>
        <v>2032</v>
      </c>
      <c r="D79" s="273">
        <f t="shared" si="109"/>
        <v>21.374476518231628</v>
      </c>
      <c r="E79" s="273">
        <f t="shared" si="102"/>
        <v>15.867081306802911</v>
      </c>
      <c r="F79" s="366">
        <f t="shared" si="103"/>
        <v>-47.351937997967362</v>
      </c>
      <c r="G79" s="366">
        <f t="shared" si="104"/>
        <v>-47.520205890191306</v>
      </c>
      <c r="H79" s="366">
        <f t="shared" si="105"/>
        <v>-48.500280158062829</v>
      </c>
      <c r="I79" s="366">
        <f t="shared" si="106"/>
        <v>-48.548184679313408</v>
      </c>
      <c r="J79" s="366">
        <f t="shared" si="107"/>
        <v>-48.370647733475536</v>
      </c>
      <c r="K79" s="366">
        <f t="shared" si="108"/>
        <v>-48.036311979950895</v>
      </c>
      <c r="M79" s="273"/>
      <c r="N79" s="273"/>
      <c r="O79" s="273"/>
      <c r="P79" s="273"/>
    </row>
    <row r="80" spans="3:16">
      <c r="C80">
        <f t="shared" si="101"/>
        <v>2033</v>
      </c>
      <c r="D80" s="273">
        <f t="shared" si="109"/>
        <v>21.801966048596263</v>
      </c>
      <c r="E80" s="273">
        <f t="shared" si="102"/>
        <v>15.916945818613764</v>
      </c>
      <c r="F80" s="366">
        <f t="shared" si="103"/>
        <v>-53.236958227949856</v>
      </c>
      <c r="G80" s="366">
        <f t="shared" si="104"/>
        <v>-53.379358508917115</v>
      </c>
      <c r="H80" s="366">
        <f t="shared" si="105"/>
        <v>-54.526512897293692</v>
      </c>
      <c r="I80" s="366">
        <f t="shared" si="106"/>
        <v>-54.582549148455584</v>
      </c>
      <c r="J80" s="366">
        <f t="shared" si="107"/>
        <v>-54.372358624979903</v>
      </c>
      <c r="K80" s="366">
        <f t="shared" si="108"/>
        <v>-54.005298494185929</v>
      </c>
      <c r="M80" s="273"/>
      <c r="N80" s="273"/>
      <c r="O80" s="273"/>
      <c r="P80" s="273"/>
    </row>
    <row r="81" spans="2:16">
      <c r="C81">
        <f t="shared" si="101"/>
        <v>2034</v>
      </c>
      <c r="D81" s="273">
        <f t="shared" si="109"/>
        <v>22.238005369568189</v>
      </c>
      <c r="E81" s="273">
        <f t="shared" si="102"/>
        <v>15.966967036594456</v>
      </c>
      <c r="F81" s="366">
        <f t="shared" si="103"/>
        <v>-59.507996560923587</v>
      </c>
      <c r="G81" s="366">
        <f t="shared" si="104"/>
        <v>-59.640986630867758</v>
      </c>
      <c r="H81" s="366">
        <f t="shared" si="105"/>
        <v>-60.955572887371503</v>
      </c>
      <c r="I81" s="366">
        <f t="shared" si="106"/>
        <v>-61.011579521763181</v>
      </c>
      <c r="J81" s="366">
        <f t="shared" si="107"/>
        <v>-60.768649739256048</v>
      </c>
      <c r="K81" s="366">
        <f t="shared" si="108"/>
        <v>-60.368779364024327</v>
      </c>
      <c r="M81" s="273"/>
      <c r="N81" s="273"/>
      <c r="O81" s="273"/>
      <c r="P81" s="273"/>
    </row>
    <row r="82" spans="2:16">
      <c r="C82">
        <f t="shared" si="101"/>
        <v>2035</v>
      </c>
      <c r="D82" s="273">
        <f t="shared" si="109"/>
        <v>22.682765476959553</v>
      </c>
      <c r="E82" s="273">
        <f t="shared" si="102"/>
        <v>16.017145453215946</v>
      </c>
      <c r="F82" s="366">
        <f t="shared" si="103"/>
        <v>-66.173616584667201</v>
      </c>
      <c r="G82" s="366">
        <f t="shared" si="104"/>
        <v>-66.313740381793735</v>
      </c>
      <c r="H82" s="366">
        <f t="shared" si="105"/>
        <v>-67.779711173274322</v>
      </c>
      <c r="I82" s="366">
        <f t="shared" si="106"/>
        <v>-67.843888023829692</v>
      </c>
      <c r="J82" s="366">
        <f t="shared" si="107"/>
        <v>-67.559916168603351</v>
      </c>
      <c r="K82" s="366">
        <f t="shared" si="108"/>
        <v>-67.135366363924504</v>
      </c>
      <c r="M82" s="273"/>
      <c r="N82" s="273"/>
      <c r="O82" s="273"/>
      <c r="P82" s="273"/>
    </row>
    <row r="83" spans="2:16">
      <c r="C83">
        <f t="shared" si="101"/>
        <v>2036</v>
      </c>
      <c r="D83" s="273">
        <f t="shared" si="109"/>
        <v>23.136420786498743</v>
      </c>
      <c r="E83" s="273">
        <f t="shared" si="102"/>
        <v>16.067481562496837</v>
      </c>
      <c r="F83" s="366">
        <f t="shared" si="103"/>
        <v>-73.242555808669096</v>
      </c>
      <c r="G83" s="366">
        <f t="shared" si="104"/>
        <v>-73.406444154414615</v>
      </c>
      <c r="H83" s="366">
        <f t="shared" si="105"/>
        <v>-75.024118185156198</v>
      </c>
      <c r="I83" s="366">
        <f t="shared" si="106"/>
        <v>-75.088261010116085</v>
      </c>
      <c r="J83" s="366">
        <f t="shared" si="107"/>
        <v>-74.763139389775276</v>
      </c>
      <c r="K83" s="366">
        <f t="shared" si="108"/>
        <v>-74.313845398031248</v>
      </c>
      <c r="M83" s="273"/>
      <c r="N83" s="273"/>
      <c r="O83" s="273"/>
      <c r="P83" s="273"/>
    </row>
    <row r="84" spans="2:16">
      <c r="C84">
        <f t="shared" si="101"/>
        <v>2037</v>
      </c>
      <c r="D84" s="273">
        <f t="shared" si="109"/>
        <v>23.59914920222872</v>
      </c>
      <c r="E84" s="273">
        <f t="shared" si="102"/>
        <v>16.117975860008269</v>
      </c>
      <c r="F84" s="366">
        <f t="shared" si="103"/>
        <v>-80.723729150889554</v>
      </c>
      <c r="G84" s="366">
        <f t="shared" si="104"/>
        <v>-80.928100096420451</v>
      </c>
      <c r="H84" s="366">
        <f t="shared" si="105"/>
        <v>-82.681310747206339</v>
      </c>
      <c r="I84" s="366">
        <f t="shared" si="106"/>
        <v>-82.753662454517851</v>
      </c>
      <c r="J84" s="366">
        <f t="shared" si="107"/>
        <v>-82.387283094087763</v>
      </c>
      <c r="K84" s="366">
        <f t="shared" si="108"/>
        <v>-81.913179987739639</v>
      </c>
      <c r="M84" s="273"/>
      <c r="N84" s="273"/>
      <c r="O84" s="273"/>
      <c r="P84" s="273"/>
    </row>
    <row r="85" spans="2:16">
      <c r="C85">
        <f t="shared" si="101"/>
        <v>2038</v>
      </c>
      <c r="D85" s="273">
        <f t="shared" si="109"/>
        <v>24.071132186273296</v>
      </c>
      <c r="E85" s="273">
        <f t="shared" si="102"/>
        <v>16.168628842878775</v>
      </c>
      <c r="F85" s="366">
        <f t="shared" si="103"/>
        <v>-88.626232494284082</v>
      </c>
      <c r="G85" s="366">
        <f t="shared" si="104"/>
        <v>-88.887891668238836</v>
      </c>
      <c r="H85" s="366">
        <f t="shared" si="105"/>
        <v>-90.776924279321733</v>
      </c>
      <c r="I85" s="366">
        <f t="shared" si="106"/>
        <v>-90.849237506696511</v>
      </c>
      <c r="J85" s="366">
        <f t="shared" si="107"/>
        <v>-90.433206103839623</v>
      </c>
      <c r="K85" s="366">
        <f t="shared" si="108"/>
        <v>-89.942514829023452</v>
      </c>
      <c r="M85" s="273"/>
      <c r="N85" s="273"/>
      <c r="O85" s="273"/>
      <c r="P85" s="273"/>
    </row>
    <row r="86" spans="2:16">
      <c r="C86">
        <f t="shared" si="101"/>
        <v>2039</v>
      </c>
      <c r="D86" s="273">
        <f t="shared" si="109"/>
        <v>24.552554829998762</v>
      </c>
      <c r="E86" s="273">
        <f t="shared" si="102"/>
        <v>16.219441009799187</v>
      </c>
      <c r="F86" s="366">
        <f t="shared" si="103"/>
        <v>-96.959346314483653</v>
      </c>
      <c r="G86" s="366">
        <f t="shared" si="104"/>
        <v>-97.295187271962774</v>
      </c>
      <c r="H86" s="366">
        <f t="shared" si="105"/>
        <v>-99.303755163892461</v>
      </c>
      <c r="I86" s="366">
        <f t="shared" si="106"/>
        <v>-99.384316120570688</v>
      </c>
      <c r="J86" s="366">
        <f t="shared" si="107"/>
        <v>-98.918502390751556</v>
      </c>
      <c r="K86" s="366">
        <f t="shared" si="108"/>
        <v>-98.411179420923062</v>
      </c>
      <c r="M86" s="273"/>
      <c r="N86" s="273"/>
      <c r="O86" s="273"/>
      <c r="P86" s="273"/>
    </row>
    <row r="87" spans="2:16">
      <c r="C87">
        <f t="shared" si="101"/>
        <v>2040</v>
      </c>
      <c r="D87" s="273">
        <f t="shared" si="109"/>
        <v>25.043605926598737</v>
      </c>
      <c r="E87" s="273">
        <f t="shared" si="102"/>
        <v>16.270412861027541</v>
      </c>
      <c r="F87" s="366">
        <f t="shared" si="103"/>
        <v>-105.73253938005485</v>
      </c>
      <c r="G87" s="366">
        <f t="shared" si="104"/>
        <v>-106.15954395286295</v>
      </c>
      <c r="H87" s="366">
        <f t="shared" si="105"/>
        <v>-108.28789877886226</v>
      </c>
      <c r="I87" s="366">
        <f t="shared" si="106"/>
        <v>-108.36841675539</v>
      </c>
      <c r="J87" s="366">
        <f t="shared" si="107"/>
        <v>-107.85269007221295</v>
      </c>
      <c r="K87" s="366">
        <f t="shared" si="108"/>
        <v>-107.32869176661634</v>
      </c>
      <c r="M87" s="273"/>
      <c r="N87" s="273"/>
      <c r="O87" s="273"/>
      <c r="P87" s="273"/>
    </row>
    <row r="88" spans="2:16">
      <c r="C88">
        <f t="shared" si="101"/>
        <v>2041</v>
      </c>
      <c r="D88" s="273">
        <f t="shared" si="109"/>
        <v>25.54447804513071</v>
      </c>
      <c r="E88" s="273">
        <f t="shared" si="102"/>
        <v>16.321544898394006</v>
      </c>
      <c r="F88" s="366">
        <f t="shared" si="103"/>
        <v>-114.95547252679155</v>
      </c>
      <c r="G88" s="366">
        <f t="shared" si="104"/>
        <v>-115.49071117493574</v>
      </c>
      <c r="H88" s="366">
        <f t="shared" si="105"/>
        <v>-117.72244541646479</v>
      </c>
      <c r="I88" s="366">
        <f t="shared" si="106"/>
        <v>-117.81125015084373</v>
      </c>
      <c r="J88" s="366">
        <f t="shared" si="107"/>
        <v>-117.23712378283183</v>
      </c>
      <c r="K88" s="366">
        <f t="shared" si="108"/>
        <v>-116.70476214852405</v>
      </c>
      <c r="M88" s="273"/>
      <c r="N88" s="273"/>
      <c r="O88" s="273"/>
      <c r="P88" s="273"/>
    </row>
    <row r="89" spans="2:16">
      <c r="C89">
        <f t="shared" si="101"/>
        <v>2042</v>
      </c>
      <c r="D89" s="273">
        <f t="shared" si="109"/>
        <v>26.055367606033325</v>
      </c>
      <c r="E89" s="273">
        <f t="shared" si="102"/>
        <v>16.372837625305813</v>
      </c>
      <c r="F89" s="366">
        <f t="shared" si="103"/>
        <v>-124.63800250751906</v>
      </c>
      <c r="G89" s="366">
        <f t="shared" si="104"/>
        <v>-125.29863467196787</v>
      </c>
      <c r="H89" s="366">
        <f t="shared" si="105"/>
        <v>-127.63396596990145</v>
      </c>
      <c r="I89" s="366">
        <f t="shared" si="106"/>
        <v>-127.7227231776845</v>
      </c>
      <c r="J89" s="366">
        <f t="shared" si="107"/>
        <v>-127.09004388691569</v>
      </c>
      <c r="K89" s="366">
        <f t="shared" si="108"/>
        <v>-126.54929697893049</v>
      </c>
      <c r="M89" s="273"/>
      <c r="N89" s="273"/>
      <c r="O89" s="273"/>
      <c r="P89" s="273"/>
    </row>
    <row r="90" spans="2:16">
      <c r="C90">
        <f t="shared" si="101"/>
        <v>2043</v>
      </c>
      <c r="D90" s="273">
        <f t="shared" si="109"/>
        <v>26.576474958153991</v>
      </c>
      <c r="E90" s="273">
        <f t="shared" si="102"/>
        <v>16.424291546752237</v>
      </c>
      <c r="F90" s="366">
        <f t="shared" si="103"/>
        <v>-134.79018591892083</v>
      </c>
      <c r="G90" s="366">
        <f t="shared" si="104"/>
        <v>-135.59346037562801</v>
      </c>
      <c r="H90" s="366">
        <f t="shared" si="105"/>
        <v>-138.01585958876413</v>
      </c>
      <c r="I90" s="366">
        <f t="shared" si="106"/>
        <v>-138.11294276537791</v>
      </c>
      <c r="J90" s="366">
        <f t="shared" si="107"/>
        <v>-137.42155691184126</v>
      </c>
      <c r="K90" s="366">
        <f t="shared" si="108"/>
        <v>-136.87240272762986</v>
      </c>
      <c r="M90" s="273"/>
      <c r="N90" s="273"/>
      <c r="O90" s="273"/>
      <c r="P90" s="273"/>
    </row>
    <row r="91" spans="2:16">
      <c r="C91">
        <f t="shared" si="101"/>
        <v>2044</v>
      </c>
      <c r="D91" s="273">
        <f t="shared" si="109"/>
        <v>27.108004457317072</v>
      </c>
      <c r="E91" s="273">
        <f t="shared" si="102"/>
        <v>16.475907169309536</v>
      </c>
      <c r="F91" s="366">
        <f t="shared" si="103"/>
        <v>-145.42228320692834</v>
      </c>
      <c r="G91" s="366">
        <f t="shared" si="104"/>
        <v>-146.38553842212599</v>
      </c>
      <c r="H91" s="366">
        <f t="shared" si="105"/>
        <v>-148.89518885133876</v>
      </c>
      <c r="I91" s="366">
        <f t="shared" si="106"/>
        <v>-148.99221990831799</v>
      </c>
      <c r="J91" s="366">
        <f t="shared" si="107"/>
        <v>-148.23354738164701</v>
      </c>
      <c r="K91" s="366">
        <f t="shared" si="108"/>
        <v>-147.68438992813876</v>
      </c>
      <c r="M91" s="273"/>
      <c r="N91" s="273"/>
      <c r="O91" s="273"/>
      <c r="P91" s="273"/>
    </row>
    <row r="92" spans="2:16">
      <c r="C92">
        <f t="shared" si="101"/>
        <v>2045</v>
      </c>
      <c r="D92" s="273">
        <f t="shared" si="109"/>
        <v>27.650164546463412</v>
      </c>
      <c r="E92" s="273">
        <f t="shared" si="102"/>
        <v>16.527685001145962</v>
      </c>
      <c r="F92" s="366">
        <f t="shared" si="103"/>
        <v>-156.54476275224579</v>
      </c>
      <c r="G92" s="366">
        <f t="shared" si="104"/>
        <v>-157.68542723901072</v>
      </c>
      <c r="H92" s="366">
        <f t="shared" si="105"/>
        <v>-160.26567733211974</v>
      </c>
      <c r="I92" s="366">
        <f t="shared" si="106"/>
        <v>-160.37107375218056</v>
      </c>
      <c r="J92" s="366">
        <f t="shared" si="107"/>
        <v>-159.54493799542973</v>
      </c>
      <c r="K92" s="366">
        <f t="shared" si="108"/>
        <v>-158.99577726404615</v>
      </c>
      <c r="M92" s="273"/>
      <c r="N92" s="273"/>
      <c r="O92" s="273"/>
      <c r="P92" s="273"/>
    </row>
    <row r="93" spans="2:16">
      <c r="C93">
        <f t="shared" ref="C93" si="110">C47</f>
        <v>2046</v>
      </c>
      <c r="D93" s="273">
        <f t="shared" si="109"/>
        <v>28.20316783739268</v>
      </c>
      <c r="E93" s="273">
        <f t="shared" si="102"/>
        <v>16.579625552026755</v>
      </c>
      <c r="F93" s="366">
        <f t="shared" si="103"/>
        <v>-168.16830503761173</v>
      </c>
      <c r="G93" s="366">
        <f t="shared" si="104"/>
        <v>-169.35760577297145</v>
      </c>
      <c r="H93" s="366">
        <f t="shared" si="105"/>
        <v>-172.15489610158642</v>
      </c>
      <c r="I93" s="366">
        <f t="shared" si="106"/>
        <v>-172.26023576201669</v>
      </c>
      <c r="J93" s="366">
        <f t="shared" si="107"/>
        <v>-171.36645975496367</v>
      </c>
      <c r="K93" s="366">
        <f t="shared" si="108"/>
        <v>-170.82153310114009</v>
      </c>
      <c r="M93" s="273"/>
      <c r="N93" s="273"/>
      <c r="O93" s="273"/>
      <c r="P93" s="273"/>
    </row>
    <row r="96" spans="2:16">
      <c r="B96">
        <v>1</v>
      </c>
      <c r="C96">
        <f>B96+1</f>
        <v>2</v>
      </c>
      <c r="D96">
        <f t="shared" ref="D96:I96" si="111">C96+1</f>
        <v>3</v>
      </c>
      <c r="E96">
        <f t="shared" si="111"/>
        <v>4</v>
      </c>
      <c r="F96">
        <f t="shared" si="111"/>
        <v>5</v>
      </c>
      <c r="G96">
        <f t="shared" si="111"/>
        <v>6</v>
      </c>
      <c r="H96">
        <f t="shared" si="111"/>
        <v>7</v>
      </c>
      <c r="I96">
        <f t="shared" si="111"/>
        <v>8</v>
      </c>
      <c r="J96">
        <v>9</v>
      </c>
      <c r="K96">
        <v>10</v>
      </c>
      <c r="L96">
        <v>11</v>
      </c>
      <c r="M96">
        <v>12</v>
      </c>
    </row>
    <row r="97" spans="2:16" ht="65" customHeight="1">
      <c r="B97" t="s">
        <v>45</v>
      </c>
      <c r="C97" s="36"/>
      <c r="D97" s="97" t="s">
        <v>62</v>
      </c>
      <c r="E97" s="97" t="s">
        <v>140</v>
      </c>
      <c r="F97" s="247" t="s">
        <v>119</v>
      </c>
      <c r="G97" s="247" t="s">
        <v>120</v>
      </c>
      <c r="H97" s="247" t="s">
        <v>121</v>
      </c>
      <c r="I97" s="247" t="s">
        <v>122</v>
      </c>
      <c r="J97" s="97" t="s">
        <v>44</v>
      </c>
      <c r="K97" s="97" t="s">
        <v>90</v>
      </c>
      <c r="L97" s="97" t="s">
        <v>108</v>
      </c>
      <c r="M97" s="97" t="s">
        <v>107</v>
      </c>
      <c r="N97" s="97" t="s">
        <v>195</v>
      </c>
      <c r="O97" s="97"/>
      <c r="P97" s="97"/>
    </row>
    <row r="98" spans="2:16">
      <c r="B98">
        <f>D18</f>
        <v>62</v>
      </c>
      <c r="C98" s="68">
        <f>C64</f>
        <v>2017</v>
      </c>
      <c r="D98" s="272">
        <f t="shared" ref="D98:D127" si="112">O18+Q18</f>
        <v>14732.562929061784</v>
      </c>
      <c r="E98" s="272"/>
      <c r="F98" s="272"/>
      <c r="G98" s="272"/>
      <c r="H98" s="272"/>
      <c r="I98" s="272"/>
      <c r="J98" s="272">
        <f t="shared" ref="J98:J127" si="113">I18</f>
        <v>15390</v>
      </c>
      <c r="K98" s="272">
        <f t="shared" ref="K98:K127" si="114">O18</f>
        <v>15061.281464530892</v>
      </c>
      <c r="L98" s="272">
        <f>K98</f>
        <v>15061.281464530892</v>
      </c>
      <c r="M98" s="272">
        <f>J98</f>
        <v>15390</v>
      </c>
      <c r="N98" s="18">
        <f>D98/K98</f>
        <v>0.97817459714545296</v>
      </c>
      <c r="O98" s="272"/>
      <c r="P98" s="272"/>
    </row>
    <row r="99" spans="2:16">
      <c r="B99">
        <f t="shared" ref="B99:B127" si="115">D19</f>
        <v>63</v>
      </c>
      <c r="C99" s="36">
        <f t="shared" ref="C99:C127" si="116">C65</f>
        <v>2018</v>
      </c>
      <c r="D99" s="272">
        <f t="shared" si="112"/>
        <v>14306.291623596846</v>
      </c>
      <c r="E99" s="272">
        <f t="shared" ref="E99:E127" si="117">V19+W19</f>
        <v>14306.291623596846</v>
      </c>
      <c r="F99" s="272">
        <f t="shared" ref="F99:F127" si="118">AB19+AC19</f>
        <v>14306.291623596846</v>
      </c>
      <c r="G99" s="272">
        <f t="shared" ref="G99:G127" si="119">AH19+AI19</f>
        <v>14306.291623596846</v>
      </c>
      <c r="H99" s="272">
        <f t="shared" ref="H99:H127" si="120">AN19+AO19</f>
        <v>14306.291623596846</v>
      </c>
      <c r="I99" s="272">
        <f t="shared" ref="I99:I127" si="121">AU19+AV19</f>
        <v>14306.291623596846</v>
      </c>
      <c r="J99" s="272">
        <f t="shared" si="113"/>
        <v>16005.6</v>
      </c>
      <c r="K99" s="272">
        <f t="shared" si="114"/>
        <v>15155.945811798423</v>
      </c>
      <c r="L99" s="272">
        <f t="shared" ref="L99:L127" si="122">L98+K99</f>
        <v>30217.227276329315</v>
      </c>
      <c r="M99" s="272">
        <f t="shared" ref="M99:M127" si="123">M98+J99</f>
        <v>31395.599999999999</v>
      </c>
      <c r="N99" s="18">
        <f t="shared" ref="N99:N127" si="124">D99/K99</f>
        <v>0.94393921707346373</v>
      </c>
      <c r="O99" s="272"/>
      <c r="P99" s="272"/>
    </row>
    <row r="100" spans="2:16">
      <c r="B100">
        <f t="shared" si="115"/>
        <v>64</v>
      </c>
      <c r="C100" s="36">
        <f t="shared" si="116"/>
        <v>2019</v>
      </c>
      <c r="D100" s="272">
        <f t="shared" si="112"/>
        <v>14020.72874418518</v>
      </c>
      <c r="E100" s="272">
        <f t="shared" si="117"/>
        <v>13980.793809622042</v>
      </c>
      <c r="F100" s="272">
        <f t="shared" si="118"/>
        <v>13980.793809622042</v>
      </c>
      <c r="G100" s="272">
        <f t="shared" si="119"/>
        <v>13980.793809622042</v>
      </c>
      <c r="H100" s="272">
        <f t="shared" si="120"/>
        <v>13980.793809622042</v>
      </c>
      <c r="I100" s="272">
        <f t="shared" si="121"/>
        <v>13980.793809622042</v>
      </c>
      <c r="J100" s="272">
        <f t="shared" si="113"/>
        <v>16412.142240000001</v>
      </c>
      <c r="K100" s="272">
        <f t="shared" si="114"/>
        <v>15216.435492092591</v>
      </c>
      <c r="L100" s="272">
        <f t="shared" si="122"/>
        <v>45433.662768421906</v>
      </c>
      <c r="M100" s="272">
        <f t="shared" si="123"/>
        <v>47807.74224</v>
      </c>
      <c r="N100" s="18">
        <f t="shared" si="124"/>
        <v>0.92142004948998901</v>
      </c>
      <c r="O100" s="272"/>
      <c r="P100" s="272"/>
    </row>
    <row r="101" spans="2:16">
      <c r="B101">
        <f t="shared" si="115"/>
        <v>65</v>
      </c>
      <c r="C101" s="36">
        <f t="shared" si="116"/>
        <v>2020</v>
      </c>
      <c r="D101" s="272">
        <f t="shared" si="112"/>
        <v>13707.877290523968</v>
      </c>
      <c r="E101" s="272">
        <f t="shared" si="117"/>
        <v>13625.367181232868</v>
      </c>
      <c r="F101" s="272">
        <f t="shared" si="118"/>
        <v>13625.367181232868</v>
      </c>
      <c r="G101" s="272">
        <f t="shared" si="119"/>
        <v>13625.367181232868</v>
      </c>
      <c r="H101" s="272">
        <f t="shared" si="120"/>
        <v>13625.367181232868</v>
      </c>
      <c r="I101" s="272">
        <f t="shared" si="121"/>
        <v>13625.367181232868</v>
      </c>
      <c r="J101" s="272">
        <f t="shared" si="113"/>
        <v>16853.628866256</v>
      </c>
      <c r="K101" s="272">
        <f t="shared" si="114"/>
        <v>15280.753078389984</v>
      </c>
      <c r="L101" s="272">
        <f t="shared" si="122"/>
        <v>60714.415846811891</v>
      </c>
      <c r="M101" s="272">
        <f t="shared" si="123"/>
        <v>64661.371106256003</v>
      </c>
      <c r="N101" s="18">
        <f t="shared" si="124"/>
        <v>0.89706817590748356</v>
      </c>
      <c r="O101" s="272"/>
      <c r="P101" s="272"/>
    </row>
    <row r="102" spans="2:16">
      <c r="B102">
        <f t="shared" si="115"/>
        <v>66</v>
      </c>
      <c r="C102" s="36">
        <f t="shared" si="116"/>
        <v>2021</v>
      </c>
      <c r="D102" s="272">
        <f t="shared" si="112"/>
        <v>13466.848500663327</v>
      </c>
      <c r="E102" s="272">
        <f t="shared" si="117"/>
        <v>13625.167718116834</v>
      </c>
      <c r="F102" s="272">
        <f t="shared" si="118"/>
        <v>13384.079091867818</v>
      </c>
      <c r="G102" s="272">
        <f t="shared" si="119"/>
        <v>13368.270001621982</v>
      </c>
      <c r="H102" s="272">
        <f t="shared" si="120"/>
        <v>13368.270001621982</v>
      </c>
      <c r="I102" s="272">
        <f t="shared" si="121"/>
        <v>13384.079091867818</v>
      </c>
      <c r="J102" s="272">
        <f t="shared" si="113"/>
        <v>17190.701443581122</v>
      </c>
      <c r="K102" s="272">
        <f t="shared" si="114"/>
        <v>15328.774972122224</v>
      </c>
      <c r="L102" s="272">
        <f t="shared" si="122"/>
        <v>76043.190818934119</v>
      </c>
      <c r="M102" s="272">
        <f t="shared" si="123"/>
        <v>81852.072549837118</v>
      </c>
      <c r="N102" s="18">
        <f t="shared" si="124"/>
        <v>0.87853390275184406</v>
      </c>
      <c r="O102" s="272"/>
      <c r="P102" s="272"/>
    </row>
    <row r="103" spans="2:16">
      <c r="B103">
        <f t="shared" si="115"/>
        <v>67</v>
      </c>
      <c r="C103" s="36">
        <f t="shared" si="116"/>
        <v>2022</v>
      </c>
      <c r="D103" s="272">
        <f t="shared" si="112"/>
        <v>13219.380090228231</v>
      </c>
      <c r="E103" s="272">
        <f t="shared" si="117"/>
        <v>13346.229203269839</v>
      </c>
      <c r="F103" s="272">
        <f t="shared" si="118"/>
        <v>13104.633022018192</v>
      </c>
      <c r="G103" s="272">
        <f t="shared" si="119"/>
        <v>13104.641222003982</v>
      </c>
      <c r="H103" s="272">
        <f t="shared" si="120"/>
        <v>13104.641222003982</v>
      </c>
      <c r="I103" s="272">
        <f t="shared" si="121"/>
        <v>13136.350567043522</v>
      </c>
      <c r="J103" s="272">
        <f t="shared" si="113"/>
        <v>17534.515472452746</v>
      </c>
      <c r="K103" s="272">
        <f t="shared" si="114"/>
        <v>15376.947781340488</v>
      </c>
      <c r="L103" s="272">
        <f t="shared" si="122"/>
        <v>91420.1386002746</v>
      </c>
      <c r="M103" s="272">
        <f t="shared" si="123"/>
        <v>99386.588022289856</v>
      </c>
      <c r="N103" s="18">
        <f t="shared" si="124"/>
        <v>0.8596881694733719</v>
      </c>
      <c r="O103" s="272"/>
      <c r="P103" s="272"/>
    </row>
    <row r="104" spans="2:16">
      <c r="B104">
        <f t="shared" si="115"/>
        <v>68</v>
      </c>
      <c r="C104" s="36">
        <f t="shared" si="116"/>
        <v>2023</v>
      </c>
      <c r="D104" s="272">
        <f t="shared" si="112"/>
        <v>12965.338178733597</v>
      </c>
      <c r="E104" s="272">
        <f t="shared" si="117"/>
        <v>13060.550987874936</v>
      </c>
      <c r="F104" s="272">
        <f t="shared" si="118"/>
        <v>12850.230501888145</v>
      </c>
      <c r="G104" s="272">
        <f t="shared" si="119"/>
        <v>12834.346563988132</v>
      </c>
      <c r="H104" s="272">
        <f t="shared" si="120"/>
        <v>12850.238727643533</v>
      </c>
      <c r="I104" s="272">
        <f t="shared" si="121"/>
        <v>12882.047723714011</v>
      </c>
      <c r="J104" s="272">
        <f t="shared" si="113"/>
        <v>17885.205781901801</v>
      </c>
      <c r="K104" s="272">
        <f t="shared" si="114"/>
        <v>15425.271980317699</v>
      </c>
      <c r="L104" s="272">
        <f t="shared" si="122"/>
        <v>106845.4105805923</v>
      </c>
      <c r="M104" s="272">
        <f t="shared" si="123"/>
        <v>117271.79380419166</v>
      </c>
      <c r="N104" s="18">
        <f t="shared" si="124"/>
        <v>0.84052574212481168</v>
      </c>
      <c r="O104" s="272"/>
      <c r="P104" s="272"/>
    </row>
    <row r="105" spans="2:16">
      <c r="B105">
        <f t="shared" si="115"/>
        <v>69</v>
      </c>
      <c r="C105" s="36">
        <f t="shared" si="116"/>
        <v>2024</v>
      </c>
      <c r="D105" s="272">
        <f t="shared" si="112"/>
        <v>12704.586192094659</v>
      </c>
      <c r="E105" s="272">
        <f t="shared" si="117"/>
        <v>12767.995833857483</v>
      </c>
      <c r="F105" s="272">
        <f t="shared" si="118"/>
        <v>12557.232567900191</v>
      </c>
      <c r="G105" s="272">
        <f t="shared" si="119"/>
        <v>12557.24905404793</v>
      </c>
      <c r="H105" s="272">
        <f t="shared" si="120"/>
        <v>12573.182917964943</v>
      </c>
      <c r="I105" s="272">
        <f t="shared" si="121"/>
        <v>12621.033985225582</v>
      </c>
      <c r="J105" s="272">
        <f t="shared" si="113"/>
        <v>18242.909897539837</v>
      </c>
      <c r="K105" s="272">
        <f t="shared" si="114"/>
        <v>15473.748044817248</v>
      </c>
      <c r="L105" s="272">
        <f t="shared" si="122"/>
        <v>122319.15862540955</v>
      </c>
      <c r="M105" s="272">
        <f t="shared" si="123"/>
        <v>135514.70370173152</v>
      </c>
      <c r="N105" s="18">
        <f t="shared" si="124"/>
        <v>0.82104129880477872</v>
      </c>
      <c r="O105" s="272"/>
      <c r="P105" s="272"/>
    </row>
    <row r="106" spans="2:16">
      <c r="B106">
        <f t="shared" si="115"/>
        <v>70</v>
      </c>
      <c r="C106" s="36">
        <f t="shared" si="116"/>
        <v>2025</v>
      </c>
      <c r="D106" s="272">
        <f t="shared" si="112"/>
        <v>12436.984808704725</v>
      </c>
      <c r="E106" s="272">
        <f t="shared" si="117"/>
        <v>12468.423753235944</v>
      </c>
      <c r="F106" s="272">
        <f t="shared" si="118"/>
        <v>12289.168105233613</v>
      </c>
      <c r="G106" s="272">
        <f t="shared" si="119"/>
        <v>12273.208969593288</v>
      </c>
      <c r="H106" s="272">
        <f t="shared" si="120"/>
        <v>12289.184643191365</v>
      </c>
      <c r="I106" s="272">
        <f t="shared" si="121"/>
        <v>12353.170027394535</v>
      </c>
      <c r="J106" s="272">
        <f t="shared" si="113"/>
        <v>18607.768095490635</v>
      </c>
      <c r="K106" s="272">
        <f t="shared" si="114"/>
        <v>15522.37645209768</v>
      </c>
      <c r="L106" s="272">
        <f t="shared" si="122"/>
        <v>137841.53507750723</v>
      </c>
      <c r="M106" s="272">
        <f t="shared" si="123"/>
        <v>154122.47179722216</v>
      </c>
      <c r="N106" s="18">
        <f t="shared" si="124"/>
        <v>0.80122942817972964</v>
      </c>
      <c r="O106" s="272"/>
      <c r="P106" s="272"/>
    </row>
    <row r="107" spans="2:16">
      <c r="B107">
        <f t="shared" si="115"/>
        <v>71</v>
      </c>
      <c r="C107" s="36">
        <f t="shared" si="116"/>
        <v>2026</v>
      </c>
      <c r="D107" s="272">
        <f t="shared" si="112"/>
        <v>12162.391904434338</v>
      </c>
      <c r="E107" s="272">
        <f t="shared" si="117"/>
        <v>12161.691953112924</v>
      </c>
      <c r="F107" s="272">
        <f t="shared" si="118"/>
        <v>11982.05892479901</v>
      </c>
      <c r="G107" s="272">
        <f t="shared" si="119"/>
        <v>11982.083783964092</v>
      </c>
      <c r="H107" s="272">
        <f t="shared" si="120"/>
        <v>12014.127256326075</v>
      </c>
      <c r="I107" s="272">
        <f t="shared" si="121"/>
        <v>12070.284189591897</v>
      </c>
      <c r="J107" s="272">
        <f t="shared" si="113"/>
        <v>18979.923457400448</v>
      </c>
      <c r="K107" s="272">
        <f t="shared" si="114"/>
        <v>15571.157680917393</v>
      </c>
      <c r="L107" s="272">
        <f t="shared" si="122"/>
        <v>153412.69275842462</v>
      </c>
      <c r="M107" s="272">
        <f t="shared" si="123"/>
        <v>173102.39525462259</v>
      </c>
      <c r="N107" s="18">
        <f t="shared" si="124"/>
        <v>0.78108462798109546</v>
      </c>
      <c r="O107" s="272"/>
      <c r="P107" s="272"/>
    </row>
    <row r="108" spans="2:16">
      <c r="B108">
        <f t="shared" si="115"/>
        <v>72</v>
      </c>
      <c r="C108" s="36">
        <f t="shared" si="116"/>
        <v>2027</v>
      </c>
      <c r="D108" s="272">
        <f t="shared" si="112"/>
        <v>11880.662496530236</v>
      </c>
      <c r="E108" s="272">
        <f t="shared" si="117"/>
        <v>11847.654779565997</v>
      </c>
      <c r="F108" s="272">
        <f t="shared" si="118"/>
        <v>11699.762795402843</v>
      </c>
      <c r="G108" s="272">
        <f t="shared" si="119"/>
        <v>11683.728110323555</v>
      </c>
      <c r="H108" s="272">
        <f t="shared" si="120"/>
        <v>11715.855663192728</v>
      </c>
      <c r="I108" s="272">
        <f t="shared" si="121"/>
        <v>11780.212634940937</v>
      </c>
      <c r="J108" s="272">
        <f t="shared" si="113"/>
        <v>19359.521926548456</v>
      </c>
      <c r="K108" s="272">
        <f t="shared" si="114"/>
        <v>15620.092211539346</v>
      </c>
      <c r="L108" s="272">
        <f t="shared" si="122"/>
        <v>169032.78496996395</v>
      </c>
      <c r="M108" s="272">
        <f t="shared" si="123"/>
        <v>192461.91718117104</v>
      </c>
      <c r="N108" s="18">
        <f t="shared" si="124"/>
        <v>0.76060130347715837</v>
      </c>
      <c r="O108" s="272"/>
      <c r="P108" s="272"/>
    </row>
    <row r="109" spans="2:16">
      <c r="B109">
        <f t="shared" si="115"/>
        <v>73</v>
      </c>
      <c r="C109" s="36">
        <f t="shared" si="116"/>
        <v>2028</v>
      </c>
      <c r="D109" s="272">
        <f t="shared" si="112"/>
        <v>11591.648686392164</v>
      </c>
      <c r="E109" s="272">
        <f t="shared" si="117"/>
        <v>11526.163660416321</v>
      </c>
      <c r="F109" s="272">
        <f t="shared" si="118"/>
        <v>11377.960324707561</v>
      </c>
      <c r="G109" s="272">
        <f t="shared" si="119"/>
        <v>11377.993644429382</v>
      </c>
      <c r="H109" s="272">
        <f t="shared" si="120"/>
        <v>11410.205498428892</v>
      </c>
      <c r="I109" s="272">
        <f t="shared" si="121"/>
        <v>11482.807243429368</v>
      </c>
      <c r="J109" s="272">
        <f t="shared" si="113"/>
        <v>19746.712365079424</v>
      </c>
      <c r="K109" s="272">
        <f t="shared" si="114"/>
        <v>15669.180525735794</v>
      </c>
      <c r="L109" s="272">
        <f t="shared" si="122"/>
        <v>184701.96549569975</v>
      </c>
      <c r="M109" s="272">
        <f t="shared" si="123"/>
        <v>212208.62954625045</v>
      </c>
      <c r="N109" s="18">
        <f t="shared" si="124"/>
        <v>0.73977376591925137</v>
      </c>
      <c r="O109" s="272"/>
      <c r="P109" s="272"/>
    </row>
    <row r="110" spans="2:16">
      <c r="B110">
        <f t="shared" si="115"/>
        <v>74</v>
      </c>
      <c r="C110" s="36">
        <f t="shared" si="116"/>
        <v>2029</v>
      </c>
      <c r="D110" s="272">
        <f t="shared" si="112"/>
        <v>11295.19960120504</v>
      </c>
      <c r="E110" s="272">
        <f t="shared" si="117"/>
        <v>11197.067046852619</v>
      </c>
      <c r="F110" s="272">
        <f t="shared" si="118"/>
        <v>11080.839694096987</v>
      </c>
      <c r="G110" s="272">
        <f t="shared" si="119"/>
        <v>11064.729106260293</v>
      </c>
      <c r="H110" s="272">
        <f t="shared" si="120"/>
        <v>11113.186202765482</v>
      </c>
      <c r="I110" s="272">
        <f t="shared" si="121"/>
        <v>11177.916919941785</v>
      </c>
      <c r="J110" s="272">
        <f t="shared" si="113"/>
        <v>20141.646612381013</v>
      </c>
      <c r="K110" s="272">
        <f t="shared" si="114"/>
        <v>15718.423106793027</v>
      </c>
      <c r="L110" s="272">
        <f t="shared" si="122"/>
        <v>200420.38860249278</v>
      </c>
      <c r="M110" s="272">
        <f t="shared" si="123"/>
        <v>232350.27615863146</v>
      </c>
      <c r="N110" s="18">
        <f t="shared" si="124"/>
        <v>0.71859623096184477</v>
      </c>
      <c r="O110" s="272"/>
      <c r="P110" s="272"/>
    </row>
    <row r="111" spans="2:16">
      <c r="B111">
        <f t="shared" si="115"/>
        <v>75</v>
      </c>
      <c r="C111" s="36">
        <f t="shared" si="116"/>
        <v>2030</v>
      </c>
      <c r="D111" s="272">
        <f t="shared" si="112"/>
        <v>10991.161334403627</v>
      </c>
      <c r="E111" s="272">
        <f t="shared" si="117"/>
        <v>10860.210353887596</v>
      </c>
      <c r="F111" s="272">
        <f t="shared" si="118"/>
        <v>10743.738311968267</v>
      </c>
      <c r="G111" s="272">
        <f t="shared" si="119"/>
        <v>10743.780180475012</v>
      </c>
      <c r="H111" s="272">
        <f t="shared" si="120"/>
        <v>10792.364426035867</v>
      </c>
      <c r="I111" s="272">
        <f t="shared" si="121"/>
        <v>10865.387534720998</v>
      </c>
      <c r="J111" s="272">
        <f t="shared" si="113"/>
        <v>20544.479544628633</v>
      </c>
      <c r="K111" s="272">
        <f t="shared" si="114"/>
        <v>15767.82043951613</v>
      </c>
      <c r="L111" s="272">
        <f t="shared" si="122"/>
        <v>216188.20904200891</v>
      </c>
      <c r="M111" s="272">
        <f t="shared" si="123"/>
        <v>252894.7557032601</v>
      </c>
      <c r="N111" s="18">
        <f t="shared" si="124"/>
        <v>0.69706281705608475</v>
      </c>
      <c r="O111" s="272"/>
      <c r="P111" s="272"/>
    </row>
    <row r="112" spans="2:16">
      <c r="B112">
        <f t="shared" si="115"/>
        <v>76</v>
      </c>
      <c r="C112" s="36">
        <f t="shared" si="116"/>
        <v>2031</v>
      </c>
      <c r="D112" s="272">
        <f t="shared" si="112"/>
        <v>10679.376884946305</v>
      </c>
      <c r="E112" s="272">
        <f t="shared" si="117"/>
        <v>10515.435899623477</v>
      </c>
      <c r="F112" s="272">
        <f t="shared" si="118"/>
        <v>10431.176301219995</v>
      </c>
      <c r="G112" s="272">
        <f t="shared" si="119"/>
        <v>10414.989455680345</v>
      </c>
      <c r="H112" s="272">
        <f t="shared" si="120"/>
        <v>10463.701183929781</v>
      </c>
      <c r="I112" s="272">
        <f t="shared" si="121"/>
        <v>10545.061862638449</v>
      </c>
      <c r="J112" s="272">
        <f t="shared" si="113"/>
        <v>20955.369135521207</v>
      </c>
      <c r="K112" s="272">
        <f t="shared" si="114"/>
        <v>15817.373010233756</v>
      </c>
      <c r="L112" s="272">
        <f t="shared" si="122"/>
        <v>232005.58205224265</v>
      </c>
      <c r="M112" s="272">
        <f t="shared" si="123"/>
        <v>273850.12483878131</v>
      </c>
      <c r="N112" s="18">
        <f t="shared" si="124"/>
        <v>0.67516754381633448</v>
      </c>
      <c r="O112" s="272"/>
      <c r="P112" s="272"/>
    </row>
    <row r="113" spans="2:16">
      <c r="B113">
        <f t="shared" si="115"/>
        <v>77</v>
      </c>
      <c r="C113" s="36">
        <f t="shared" si="116"/>
        <v>2032</v>
      </c>
      <c r="D113" s="272">
        <f t="shared" si="112"/>
        <v>10359.686095374193</v>
      </c>
      <c r="E113" s="272">
        <f t="shared" si="117"/>
        <v>10162.582843302833</v>
      </c>
      <c r="F113" s="272">
        <f t="shared" si="118"/>
        <v>10078.145856271134</v>
      </c>
      <c r="G113" s="272">
        <f t="shared" si="119"/>
        <v>10078.196362484592</v>
      </c>
      <c r="H113" s="272">
        <f t="shared" si="120"/>
        <v>10143.33260344372</v>
      </c>
      <c r="I113" s="272">
        <f t="shared" si="121"/>
        <v>10208.610073088719</v>
      </c>
      <c r="J113" s="272">
        <f t="shared" si="113"/>
        <v>21374.47651823163</v>
      </c>
      <c r="K113" s="272">
        <f t="shared" si="114"/>
        <v>15867.081306802911</v>
      </c>
      <c r="L113" s="272">
        <f t="shared" si="122"/>
        <v>247872.66335904557</v>
      </c>
      <c r="M113" s="272">
        <f t="shared" si="123"/>
        <v>295224.60135701293</v>
      </c>
      <c r="N113" s="18">
        <f t="shared" si="124"/>
        <v>0.65290433035926665</v>
      </c>
      <c r="O113" s="272"/>
      <c r="P113" s="272"/>
    </row>
    <row r="114" spans="2:16">
      <c r="B114">
        <f t="shared" si="115"/>
        <v>78</v>
      </c>
      <c r="C114" s="36">
        <f t="shared" si="116"/>
        <v>2033</v>
      </c>
      <c r="D114" s="272">
        <f t="shared" si="112"/>
        <v>10031.925588631264</v>
      </c>
      <c r="E114" s="272">
        <f t="shared" si="117"/>
        <v>10083.660811144633</v>
      </c>
      <c r="F114" s="272">
        <f t="shared" si="118"/>
        <v>9749.5005701345326</v>
      </c>
      <c r="G114" s="272">
        <f t="shared" si="119"/>
        <v>9733.2371103119222</v>
      </c>
      <c r="H114" s="272">
        <f t="shared" si="120"/>
        <v>9798.5442655875231</v>
      </c>
      <c r="I114" s="272">
        <f t="shared" si="121"/>
        <v>9863.9930201261777</v>
      </c>
      <c r="J114" s="272">
        <f t="shared" si="113"/>
        <v>21801.966048596263</v>
      </c>
      <c r="K114" s="272">
        <f t="shared" si="114"/>
        <v>15916.945818613764</v>
      </c>
      <c r="L114" s="272">
        <f t="shared" si="122"/>
        <v>263789.60917765932</v>
      </c>
      <c r="M114" s="272">
        <f t="shared" si="123"/>
        <v>317026.56740560918</v>
      </c>
      <c r="N114" s="18">
        <f t="shared" si="124"/>
        <v>0.63026699361504535</v>
      </c>
      <c r="O114" s="272"/>
      <c r="P114" s="272"/>
    </row>
    <row r="115" spans="2:16">
      <c r="B115">
        <f t="shared" si="115"/>
        <v>79</v>
      </c>
      <c r="C115" s="36">
        <f t="shared" si="116"/>
        <v>2034</v>
      </c>
      <c r="D115" s="272">
        <f t="shared" si="112"/>
        <v>9695.9287036207243</v>
      </c>
      <c r="E115" s="272">
        <f t="shared" si="117"/>
        <v>9714.7491256668982</v>
      </c>
      <c r="F115" s="272">
        <f t="shared" si="118"/>
        <v>9379.8853894125677</v>
      </c>
      <c r="G115" s="272">
        <f t="shared" si="119"/>
        <v>9379.9446229529967</v>
      </c>
      <c r="H115" s="272">
        <f t="shared" si="120"/>
        <v>9445.4231410158973</v>
      </c>
      <c r="I115" s="272">
        <f t="shared" si="121"/>
        <v>9511.0436298914028</v>
      </c>
      <c r="J115" s="272">
        <f t="shared" si="113"/>
        <v>22238.005369568189</v>
      </c>
      <c r="K115" s="272">
        <f t="shared" si="114"/>
        <v>15966.967036594457</v>
      </c>
      <c r="L115" s="272">
        <f t="shared" si="122"/>
        <v>279756.57621425379</v>
      </c>
      <c r="M115" s="272">
        <f t="shared" si="123"/>
        <v>339264.57277517737</v>
      </c>
      <c r="N115" s="18">
        <f t="shared" si="124"/>
        <v>0.60724924661012747</v>
      </c>
      <c r="O115" s="272"/>
      <c r="P115" s="272"/>
    </row>
    <row r="116" spans="2:16">
      <c r="B116">
        <f t="shared" si="115"/>
        <v>80</v>
      </c>
      <c r="C116" s="36">
        <f t="shared" si="116"/>
        <v>2035</v>
      </c>
      <c r="D116" s="272">
        <f t="shared" si="112"/>
        <v>9351.5254294723345</v>
      </c>
      <c r="E116" s="272">
        <f t="shared" si="117"/>
        <v>9337.2579751076082</v>
      </c>
      <c r="F116" s="272">
        <f t="shared" si="118"/>
        <v>9034.4889051539249</v>
      </c>
      <c r="G116" s="272">
        <f t="shared" si="119"/>
        <v>9018.1484728265241</v>
      </c>
      <c r="H116" s="272">
        <f t="shared" si="120"/>
        <v>9100.2326182649631</v>
      </c>
      <c r="I116" s="272">
        <f t="shared" si="121"/>
        <v>9149.5914771591852</v>
      </c>
      <c r="J116" s="272">
        <f t="shared" si="113"/>
        <v>22682.765476959554</v>
      </c>
      <c r="K116" s="272">
        <f t="shared" si="114"/>
        <v>16017.145453215944</v>
      </c>
      <c r="L116" s="272">
        <f t="shared" si="122"/>
        <v>295773.72166746971</v>
      </c>
      <c r="M116" s="272">
        <f t="shared" si="123"/>
        <v>361947.33825213695</v>
      </c>
      <c r="N116" s="18">
        <f t="shared" si="124"/>
        <v>0.58384469672120776</v>
      </c>
      <c r="O116" s="272"/>
      <c r="P116" s="272"/>
    </row>
    <row r="117" spans="2:16">
      <c r="B117">
        <f t="shared" si="115"/>
        <v>81</v>
      </c>
      <c r="C117" s="36">
        <f t="shared" si="116"/>
        <v>2036</v>
      </c>
      <c r="D117" s="272">
        <f t="shared" si="112"/>
        <v>8998.5423384949281</v>
      </c>
      <c r="E117" s="272">
        <f t="shared" si="117"/>
        <v>8951.0132412569801</v>
      </c>
      <c r="F117" s="272">
        <f t="shared" si="118"/>
        <v>8647.606762734973</v>
      </c>
      <c r="G117" s="272">
        <f t="shared" si="119"/>
        <v>8647.6748139259798</v>
      </c>
      <c r="H117" s="272">
        <f t="shared" si="120"/>
        <v>8729.974344154889</v>
      </c>
      <c r="I117" s="272">
        <f t="shared" si="121"/>
        <v>8779.4627182852637</v>
      </c>
      <c r="J117" s="272">
        <f t="shared" si="113"/>
        <v>23136.420786498744</v>
      </c>
      <c r="K117" s="272">
        <f t="shared" si="114"/>
        <v>16067.481562496836</v>
      </c>
      <c r="L117" s="272">
        <f t="shared" si="122"/>
        <v>311841.20322996657</v>
      </c>
      <c r="M117" s="272">
        <f t="shared" si="123"/>
        <v>385083.7590386357</v>
      </c>
      <c r="N117" s="18">
        <f t="shared" si="124"/>
        <v>0.56004684389982162</v>
      </c>
      <c r="O117" s="272"/>
      <c r="P117" s="272"/>
    </row>
    <row r="118" spans="2:16">
      <c r="B118">
        <f t="shared" si="115"/>
        <v>82</v>
      </c>
      <c r="C118" s="36">
        <f t="shared" si="116"/>
        <v>2037</v>
      </c>
      <c r="D118" s="272">
        <f t="shared" si="112"/>
        <v>8636.8025177878153</v>
      </c>
      <c r="E118" s="272">
        <f t="shared" si="117"/>
        <v>8555.8373182170144</v>
      </c>
      <c r="F118" s="272">
        <f t="shared" si="118"/>
        <v>8284.7640781284463</v>
      </c>
      <c r="G118" s="272">
        <f t="shared" si="119"/>
        <v>8268.346313425187</v>
      </c>
      <c r="H118" s="272">
        <f t="shared" si="120"/>
        <v>8350.8617936037444</v>
      </c>
      <c r="I118" s="272">
        <f t="shared" si="121"/>
        <v>8400.4800228119275</v>
      </c>
      <c r="J118" s="272">
        <f t="shared" si="113"/>
        <v>23599.14920222872</v>
      </c>
      <c r="K118" s="272">
        <f t="shared" si="114"/>
        <v>16117.975860008268</v>
      </c>
      <c r="L118" s="272">
        <f t="shared" si="122"/>
        <v>327959.17908997484</v>
      </c>
      <c r="M118" s="272">
        <f t="shared" si="123"/>
        <v>408682.9082408644</v>
      </c>
      <c r="N118" s="18">
        <f t="shared" si="124"/>
        <v>0.5358490788671143</v>
      </c>
      <c r="O118" s="272"/>
      <c r="P118" s="272"/>
    </row>
    <row r="119" spans="2:16">
      <c r="B119">
        <f t="shared" si="115"/>
        <v>83</v>
      </c>
      <c r="C119" s="36">
        <f t="shared" si="116"/>
        <v>2038</v>
      </c>
      <c r="D119" s="272">
        <f t="shared" si="112"/>
        <v>8266.1254994842529</v>
      </c>
      <c r="E119" s="272">
        <f t="shared" si="117"/>
        <v>8151.5490426365359</v>
      </c>
      <c r="F119" s="272">
        <f t="shared" si="118"/>
        <v>7879.9051220425172</v>
      </c>
      <c r="G119" s="272">
        <f t="shared" si="119"/>
        <v>7879.982081915965</v>
      </c>
      <c r="H119" s="272">
        <f t="shared" si="120"/>
        <v>7979.2861667695652</v>
      </c>
      <c r="I119" s="272">
        <f t="shared" si="121"/>
        <v>8012.4625037056758</v>
      </c>
      <c r="J119" s="272">
        <f t="shared" si="113"/>
        <v>24071.132186273295</v>
      </c>
      <c r="K119" s="272">
        <f t="shared" si="114"/>
        <v>16168.628842878774</v>
      </c>
      <c r="L119" s="272">
        <f t="shared" si="122"/>
        <v>344127.80793285364</v>
      </c>
      <c r="M119" s="272">
        <f t="shared" si="123"/>
        <v>432754.04042713769</v>
      </c>
      <c r="N119" s="18">
        <f t="shared" si="124"/>
        <v>0.51124468127827316</v>
      </c>
      <c r="O119" s="272"/>
      <c r="P119" s="272"/>
    </row>
    <row r="120" spans="2:16">
      <c r="B120">
        <f t="shared" si="115"/>
        <v>84</v>
      </c>
      <c r="C120" s="36">
        <f t="shared" si="116"/>
        <v>2039</v>
      </c>
      <c r="D120" s="272">
        <f t="shared" si="112"/>
        <v>7886.3271895996113</v>
      </c>
      <c r="E120" s="272">
        <f t="shared" si="117"/>
        <v>7737.9636225508802</v>
      </c>
      <c r="F120" s="272">
        <f t="shared" si="118"/>
        <v>7498.8930608572955</v>
      </c>
      <c r="G120" s="272">
        <f t="shared" si="119"/>
        <v>7482.3976022504321</v>
      </c>
      <c r="H120" s="272">
        <f t="shared" si="120"/>
        <v>7581.9622561748911</v>
      </c>
      <c r="I120" s="272">
        <f t="shared" si="121"/>
        <v>7615.2256461995312</v>
      </c>
      <c r="J120" s="272">
        <f t="shared" si="113"/>
        <v>24552.55482999876</v>
      </c>
      <c r="K120" s="272">
        <f t="shared" si="114"/>
        <v>16219.441009799186</v>
      </c>
      <c r="L120" s="272">
        <f t="shared" si="122"/>
        <v>360347.24894265283</v>
      </c>
      <c r="M120" s="272">
        <f t="shared" si="123"/>
        <v>457306.59525713645</v>
      </c>
      <c r="N120" s="18">
        <f t="shared" si="124"/>
        <v>0.48622681785611382</v>
      </c>
      <c r="O120" s="272"/>
      <c r="P120" s="272"/>
    </row>
    <row r="121" spans="2:16">
      <c r="B121">
        <f t="shared" si="115"/>
        <v>85</v>
      </c>
      <c r="C121" s="36">
        <f t="shared" si="116"/>
        <v>2040</v>
      </c>
      <c r="D121" s="272">
        <f t="shared" si="112"/>
        <v>7497.2197954563453</v>
      </c>
      <c r="E121" s="272">
        <f t="shared" si="117"/>
        <v>7314.8925647983779</v>
      </c>
      <c r="F121" s="272">
        <f t="shared" si="118"/>
        <v>7075.3186966591238</v>
      </c>
      <c r="G121" s="272">
        <f t="shared" si="119"/>
        <v>7075.4046569600978</v>
      </c>
      <c r="H121" s="272">
        <f t="shared" si="120"/>
        <v>7175.2305636759374</v>
      </c>
      <c r="I121" s="272">
        <f t="shared" si="121"/>
        <v>7208.5812352121575</v>
      </c>
      <c r="J121" s="272">
        <f t="shared" si="113"/>
        <v>25043.605926598735</v>
      </c>
      <c r="K121" s="272">
        <f t="shared" si="114"/>
        <v>16270.41286102754</v>
      </c>
      <c r="L121" s="272">
        <f t="shared" si="122"/>
        <v>376617.66180368036</v>
      </c>
      <c r="M121" s="272">
        <f t="shared" si="123"/>
        <v>482350.20118373516</v>
      </c>
      <c r="N121" s="18">
        <f t="shared" si="124"/>
        <v>0.46078854049330292</v>
      </c>
      <c r="O121" s="272"/>
      <c r="P121" s="272"/>
    </row>
    <row r="122" spans="2:16">
      <c r="B122">
        <f t="shared" si="115"/>
        <v>86</v>
      </c>
      <c r="C122" s="36">
        <f t="shared" si="116"/>
        <v>2041</v>
      </c>
      <c r="D122" s="272">
        <f t="shared" si="112"/>
        <v>7098.6117516572995</v>
      </c>
      <c r="E122" s="272">
        <f t="shared" si="117"/>
        <v>6882.143600985135</v>
      </c>
      <c r="F122" s="272">
        <f t="shared" si="118"/>
        <v>6675.3847699256403</v>
      </c>
      <c r="G122" s="272">
        <f t="shared" si="119"/>
        <v>6658.8112542232739</v>
      </c>
      <c r="H122" s="272">
        <f t="shared" si="120"/>
        <v>6775.6106238929569</v>
      </c>
      <c r="I122" s="272">
        <f t="shared" si="121"/>
        <v>6792.3372813152928</v>
      </c>
      <c r="J122" s="272">
        <f t="shared" si="113"/>
        <v>25544.478045130709</v>
      </c>
      <c r="K122" s="272">
        <f t="shared" si="114"/>
        <v>16321.544898394004</v>
      </c>
      <c r="L122" s="272">
        <f t="shared" si="122"/>
        <v>392939.20670207439</v>
      </c>
      <c r="M122" s="272">
        <f t="shared" si="123"/>
        <v>507894.67922886589</v>
      </c>
      <c r="N122" s="18">
        <f t="shared" si="124"/>
        <v>0.43492278432268894</v>
      </c>
      <c r="O122" s="272"/>
      <c r="P122" s="272"/>
    </row>
    <row r="123" spans="2:16">
      <c r="B123">
        <f t="shared" si="115"/>
        <v>87</v>
      </c>
      <c r="C123" s="36">
        <f t="shared" si="116"/>
        <v>2042</v>
      </c>
      <c r="D123" s="272">
        <f t="shared" si="112"/>
        <v>6690.3076445783045</v>
      </c>
      <c r="E123" s="272">
        <f t="shared" si="117"/>
        <v>6439.5206119690811</v>
      </c>
      <c r="F123" s="272">
        <f t="shared" si="118"/>
        <v>6232.3264991599863</v>
      </c>
      <c r="G123" s="272">
        <f t="shared" si="119"/>
        <v>6232.4215523517632</v>
      </c>
      <c r="H123" s="272">
        <f t="shared" si="120"/>
        <v>6349.5273978655823</v>
      </c>
      <c r="I123" s="272">
        <f t="shared" si="121"/>
        <v>6366.2979452204381</v>
      </c>
      <c r="J123" s="272">
        <f t="shared" si="113"/>
        <v>26055.367606033324</v>
      </c>
      <c r="K123" s="272">
        <f t="shared" si="114"/>
        <v>16372.837625305814</v>
      </c>
      <c r="L123" s="272">
        <f t="shared" si="122"/>
        <v>409312.04432738019</v>
      </c>
      <c r="M123" s="272">
        <f t="shared" si="123"/>
        <v>533950.04683489923</v>
      </c>
      <c r="N123" s="18">
        <f t="shared" si="124"/>
        <v>0.40862236575520561</v>
      </c>
      <c r="O123" s="272"/>
      <c r="P123" s="272"/>
    </row>
    <row r="124" spans="2:16">
      <c r="B124">
        <f t="shared" si="115"/>
        <v>88</v>
      </c>
      <c r="C124" s="36">
        <f t="shared" si="116"/>
        <v>2043</v>
      </c>
      <c r="D124" s="272">
        <f t="shared" si="112"/>
        <v>6272.1081353504815</v>
      </c>
      <c r="E124" s="272">
        <f t="shared" si="117"/>
        <v>5986.8235508336838</v>
      </c>
      <c r="F124" s="272">
        <f t="shared" si="118"/>
        <v>5812.6877204286393</v>
      </c>
      <c r="G124" s="272">
        <f t="shared" si="119"/>
        <v>5796.0357827672087</v>
      </c>
      <c r="H124" s="272">
        <f t="shared" si="120"/>
        <v>5913.4489083028202</v>
      </c>
      <c r="I124" s="272">
        <f t="shared" si="121"/>
        <v>5930.2634607552354</v>
      </c>
      <c r="J124" s="272">
        <f t="shared" si="113"/>
        <v>26576.474958153991</v>
      </c>
      <c r="K124" s="272">
        <f t="shared" si="114"/>
        <v>16424.291546752236</v>
      </c>
      <c r="L124" s="272">
        <f t="shared" si="122"/>
        <v>425736.3358741324</v>
      </c>
      <c r="M124" s="272">
        <f t="shared" si="123"/>
        <v>560526.52179305325</v>
      </c>
      <c r="N124" s="18">
        <f t="shared" si="124"/>
        <v>0.38187998048480437</v>
      </c>
      <c r="O124" s="272"/>
      <c r="P124" s="272"/>
    </row>
    <row r="125" spans="2:16">
      <c r="B125">
        <f t="shared" si="115"/>
        <v>89</v>
      </c>
      <c r="C125" s="36">
        <f t="shared" si="116"/>
        <v>2044</v>
      </c>
      <c r="D125" s="272">
        <f t="shared" si="112"/>
        <v>5843.8098813020006</v>
      </c>
      <c r="E125" s="272">
        <f t="shared" si="117"/>
        <v>5523.8483643211039</v>
      </c>
      <c r="F125" s="272">
        <f t="shared" si="118"/>
        <v>5349.3459321678383</v>
      </c>
      <c r="G125" s="272">
        <f t="shared" si="119"/>
        <v>5349.4501714369035</v>
      </c>
      <c r="H125" s="272">
        <f t="shared" si="120"/>
        <v>5484.0235177055692</v>
      </c>
      <c r="I125" s="272">
        <f t="shared" si="121"/>
        <v>5484.0300562992852</v>
      </c>
      <c r="J125" s="272">
        <f t="shared" si="113"/>
        <v>27108.004457317071</v>
      </c>
      <c r="K125" s="272">
        <f t="shared" si="114"/>
        <v>16475.907169309536</v>
      </c>
      <c r="L125" s="272">
        <f t="shared" si="122"/>
        <v>442212.24304344197</v>
      </c>
      <c r="M125" s="272">
        <f t="shared" si="123"/>
        <v>587634.52625037031</v>
      </c>
      <c r="N125" s="18">
        <f t="shared" si="124"/>
        <v>0.3546882014598593</v>
      </c>
      <c r="O125" s="272"/>
      <c r="P125" s="272"/>
    </row>
    <row r="126" spans="2:16">
      <c r="B126">
        <f t="shared" si="115"/>
        <v>90</v>
      </c>
      <c r="C126" s="36">
        <f t="shared" si="116"/>
        <v>2045</v>
      </c>
      <c r="D126" s="272">
        <f t="shared" si="112"/>
        <v>5405.205455828509</v>
      </c>
      <c r="E126" s="272">
        <f t="shared" si="117"/>
        <v>5050.3869126940008</v>
      </c>
      <c r="F126" s="272">
        <f t="shared" si="118"/>
        <v>4909.1875849014941</v>
      </c>
      <c r="G126" s="272">
        <f t="shared" si="119"/>
        <v>4892.4568587382455</v>
      </c>
      <c r="H126" s="272">
        <f t="shared" si="120"/>
        <v>5027.3833188979588</v>
      </c>
      <c r="I126" s="272">
        <f t="shared" si="121"/>
        <v>5027.3898746486266</v>
      </c>
      <c r="J126" s="272">
        <f t="shared" si="113"/>
        <v>27650.164546463413</v>
      </c>
      <c r="K126" s="272">
        <f t="shared" si="114"/>
        <v>16527.685001145961</v>
      </c>
      <c r="L126" s="272">
        <f t="shared" si="122"/>
        <v>458739.92804458796</v>
      </c>
      <c r="M126" s="272">
        <f t="shared" si="123"/>
        <v>615284.69079683372</v>
      </c>
      <c r="N126" s="18">
        <f t="shared" si="124"/>
        <v>0.3270394768204824</v>
      </c>
      <c r="O126" s="272"/>
      <c r="P126" s="272"/>
    </row>
    <row r="127" spans="2:16">
      <c r="B127">
        <f t="shared" si="115"/>
        <v>91</v>
      </c>
      <c r="C127" s="36">
        <f t="shared" si="116"/>
        <v>2046</v>
      </c>
      <c r="D127" s="272">
        <f t="shared" si="112"/>
        <v>4956.0832666608294</v>
      </c>
      <c r="E127" s="272">
        <f t="shared" si="117"/>
        <v>4858.8107694712126</v>
      </c>
      <c r="F127" s="272">
        <f t="shared" si="118"/>
        <v>4424.7302984593116</v>
      </c>
      <c r="G127" s="272">
        <f t="shared" si="119"/>
        <v>4424.8438177204152</v>
      </c>
      <c r="H127" s="272">
        <f t="shared" si="120"/>
        <v>4560.1243183247898</v>
      </c>
      <c r="I127" s="272">
        <f t="shared" si="121"/>
        <v>4551.6561632048251</v>
      </c>
      <c r="J127" s="272">
        <f t="shared" si="113"/>
        <v>28203.167837392681</v>
      </c>
      <c r="K127" s="272">
        <f t="shared" si="114"/>
        <v>16579.625552026755</v>
      </c>
      <c r="L127" s="272">
        <f t="shared" si="122"/>
        <v>475319.55359661469</v>
      </c>
      <c r="M127" s="272">
        <f t="shared" si="123"/>
        <v>643487.85863422637</v>
      </c>
      <c r="N127" s="18">
        <f t="shared" si="124"/>
        <v>0.29892612780117822</v>
      </c>
      <c r="O127" s="272"/>
      <c r="P127" s="272"/>
    </row>
    <row r="131" spans="3:16" ht="48">
      <c r="C131" s="100" t="s">
        <v>28</v>
      </c>
      <c r="D131" s="100" t="s">
        <v>266</v>
      </c>
      <c r="E131" s="100" t="s">
        <v>259</v>
      </c>
      <c r="F131" s="100" t="s">
        <v>133</v>
      </c>
      <c r="G131" s="100" t="s">
        <v>94</v>
      </c>
      <c r="H131" s="100" t="s">
        <v>85</v>
      </c>
      <c r="I131" s="100" t="s">
        <v>87</v>
      </c>
      <c r="J131" s="300"/>
      <c r="K131" s="300"/>
      <c r="L131" s="300"/>
      <c r="M131" s="300"/>
      <c r="N131" s="300"/>
      <c r="O131" s="300"/>
      <c r="P131" s="300"/>
    </row>
    <row r="132" spans="3:16">
      <c r="C132" s="673" t="s">
        <v>84</v>
      </c>
      <c r="D132" s="673"/>
      <c r="E132" s="9">
        <f t="shared" ref="E132:E161" si="125">O17</f>
        <v>15000</v>
      </c>
    </row>
    <row r="133" spans="3:16">
      <c r="C133" s="162">
        <f t="shared" ref="C133:C161" si="126">C18</f>
        <v>2017</v>
      </c>
      <c r="D133" s="190">
        <f t="shared" ref="D133:D161" si="127">G18</f>
        <v>2.5999999999999999E-2</v>
      </c>
      <c r="E133" s="8">
        <f t="shared" si="125"/>
        <v>15061.281464530892</v>
      </c>
      <c r="F133" s="9">
        <f t="shared" ref="F133:F161" si="128">I18</f>
        <v>15390</v>
      </c>
      <c r="G133" s="9">
        <f t="shared" ref="G133:G161" si="129">Q18</f>
        <v>-328.71853546910825</v>
      </c>
      <c r="H133" s="9">
        <f t="shared" ref="H133:H162" si="130">E133+G133</f>
        <v>14732.562929061784</v>
      </c>
      <c r="I133" s="365">
        <f t="shared" ref="I133:I162" si="131">R18</f>
        <v>-328.71853546910825</v>
      </c>
      <c r="J133" s="301"/>
      <c r="K133" s="301"/>
      <c r="L133" s="301"/>
      <c r="M133" s="301"/>
      <c r="N133" s="301"/>
      <c r="O133" s="301"/>
      <c r="P133" s="301"/>
    </row>
    <row r="134" spans="3:16">
      <c r="C134" s="162">
        <f t="shared" si="126"/>
        <v>2018</v>
      </c>
      <c r="D134" s="190">
        <f t="shared" si="127"/>
        <v>0.04</v>
      </c>
      <c r="E134" s="8">
        <f t="shared" si="125"/>
        <v>15155.945811798423</v>
      </c>
      <c r="F134" s="9">
        <f t="shared" si="128"/>
        <v>16005.6</v>
      </c>
      <c r="G134" s="9">
        <f t="shared" si="129"/>
        <v>-849.6541882015772</v>
      </c>
      <c r="H134" s="9">
        <f t="shared" si="130"/>
        <v>14306.291623596846</v>
      </c>
      <c r="I134" s="365">
        <f t="shared" si="131"/>
        <v>-1178.3727236706854</v>
      </c>
      <c r="J134" s="301"/>
      <c r="K134" s="301"/>
      <c r="L134" s="301"/>
      <c r="M134" s="301"/>
      <c r="N134" s="301"/>
      <c r="O134" s="301"/>
      <c r="P134" s="301"/>
    </row>
    <row r="135" spans="3:16">
      <c r="C135" s="162">
        <f t="shared" si="126"/>
        <v>2019</v>
      </c>
      <c r="D135" s="190">
        <f t="shared" si="127"/>
        <v>2.5399999999999999E-2</v>
      </c>
      <c r="E135" s="8">
        <f t="shared" si="125"/>
        <v>15216.435492092591</v>
      </c>
      <c r="F135" s="9">
        <f t="shared" si="128"/>
        <v>16412.142240000001</v>
      </c>
      <c r="G135" s="9">
        <f t="shared" si="129"/>
        <v>-1195.7067479074103</v>
      </c>
      <c r="H135" s="9">
        <f t="shared" si="130"/>
        <v>14020.72874418518</v>
      </c>
      <c r="I135" s="365">
        <f t="shared" si="131"/>
        <v>-2374.0794715780958</v>
      </c>
      <c r="J135" s="301"/>
      <c r="K135" s="301"/>
      <c r="L135" s="301"/>
      <c r="M135" s="301"/>
      <c r="N135" s="301"/>
      <c r="O135" s="301"/>
      <c r="P135" s="301"/>
    </row>
    <row r="136" spans="3:16">
      <c r="C136" s="162">
        <f t="shared" si="126"/>
        <v>2020</v>
      </c>
      <c r="D136" s="190">
        <f t="shared" si="127"/>
        <v>2.69E-2</v>
      </c>
      <c r="E136" s="8">
        <f t="shared" si="125"/>
        <v>15280.753078389984</v>
      </c>
      <c r="F136" s="9">
        <f t="shared" si="128"/>
        <v>16853.628866256</v>
      </c>
      <c r="G136" s="9">
        <f t="shared" si="129"/>
        <v>-1572.8757878660163</v>
      </c>
      <c r="H136" s="9">
        <f t="shared" si="130"/>
        <v>13707.877290523968</v>
      </c>
      <c r="I136" s="365">
        <f t="shared" si="131"/>
        <v>-3946.955259444112</v>
      </c>
      <c r="J136" s="301"/>
      <c r="K136" s="301"/>
      <c r="L136" s="301"/>
      <c r="M136" s="301"/>
      <c r="N136" s="301"/>
      <c r="O136" s="301"/>
      <c r="P136" s="301"/>
    </row>
    <row r="137" spans="3:16">
      <c r="C137" s="162">
        <f t="shared" si="126"/>
        <v>2021</v>
      </c>
      <c r="D137" s="190">
        <f t="shared" si="127"/>
        <v>0.02</v>
      </c>
      <c r="E137" s="8">
        <f t="shared" si="125"/>
        <v>15328.774972122224</v>
      </c>
      <c r="F137" s="9">
        <f t="shared" si="128"/>
        <v>17190.701443581122</v>
      </c>
      <c r="G137" s="9">
        <f t="shared" si="129"/>
        <v>-1861.9264714588971</v>
      </c>
      <c r="H137" s="9">
        <f t="shared" si="130"/>
        <v>13466.848500663327</v>
      </c>
      <c r="I137" s="365">
        <f t="shared" si="131"/>
        <v>-5808.8817309030092</v>
      </c>
      <c r="J137" s="301"/>
      <c r="K137" s="301"/>
      <c r="L137" s="301"/>
      <c r="M137" s="301"/>
      <c r="N137" s="301"/>
      <c r="O137" s="301"/>
      <c r="P137" s="301"/>
    </row>
    <row r="138" spans="3:16">
      <c r="C138" s="162">
        <f t="shared" si="126"/>
        <v>2022</v>
      </c>
      <c r="D138" s="190">
        <f t="shared" si="127"/>
        <v>0.02</v>
      </c>
      <c r="E138" s="8">
        <f t="shared" si="125"/>
        <v>15376.947781340488</v>
      </c>
      <c r="F138" s="9">
        <f t="shared" si="128"/>
        <v>17534.515472452746</v>
      </c>
      <c r="G138" s="9">
        <f t="shared" si="129"/>
        <v>-2157.5676911122573</v>
      </c>
      <c r="H138" s="9">
        <f t="shared" si="130"/>
        <v>13219.380090228231</v>
      </c>
      <c r="I138" s="365">
        <f t="shared" si="131"/>
        <v>-7966.4494220152665</v>
      </c>
      <c r="J138" s="301"/>
      <c r="K138" s="301"/>
      <c r="L138" s="301"/>
      <c r="M138" s="301"/>
      <c r="N138" s="301"/>
      <c r="O138" s="301"/>
      <c r="P138" s="301"/>
    </row>
    <row r="139" spans="3:16">
      <c r="C139" s="162">
        <f t="shared" si="126"/>
        <v>2023</v>
      </c>
      <c r="D139" s="190">
        <f t="shared" si="127"/>
        <v>0.02</v>
      </c>
      <c r="E139" s="8">
        <f t="shared" si="125"/>
        <v>15425.271980317699</v>
      </c>
      <c r="F139" s="9">
        <f t="shared" si="128"/>
        <v>17885.205781901801</v>
      </c>
      <c r="G139" s="9">
        <f t="shared" si="129"/>
        <v>-2459.9338015841022</v>
      </c>
      <c r="H139" s="9">
        <f t="shared" si="130"/>
        <v>12965.338178733597</v>
      </c>
      <c r="I139" s="365">
        <f t="shared" si="131"/>
        <v>-10426.383223599369</v>
      </c>
      <c r="J139" s="301"/>
      <c r="K139" s="301"/>
      <c r="L139" s="301"/>
      <c r="M139" s="301"/>
      <c r="N139" s="301"/>
      <c r="O139" s="301"/>
      <c r="P139" s="301"/>
    </row>
    <row r="140" spans="3:16">
      <c r="C140" s="162">
        <f t="shared" si="126"/>
        <v>2024</v>
      </c>
      <c r="D140" s="190">
        <f t="shared" si="127"/>
        <v>0.02</v>
      </c>
      <c r="E140" s="8">
        <f t="shared" si="125"/>
        <v>15473.748044817248</v>
      </c>
      <c r="F140" s="9">
        <f t="shared" si="128"/>
        <v>18242.909897539837</v>
      </c>
      <c r="G140" s="9">
        <f t="shared" si="129"/>
        <v>-2769.1618527225892</v>
      </c>
      <c r="H140" s="9">
        <f t="shared" si="130"/>
        <v>12704.586192094659</v>
      </c>
      <c r="I140" s="365">
        <f t="shared" si="131"/>
        <v>-13195.545076321958</v>
      </c>
      <c r="J140" s="301"/>
      <c r="K140" s="301"/>
      <c r="L140" s="301"/>
      <c r="M140" s="301"/>
      <c r="N140" s="301"/>
      <c r="O140" s="301"/>
      <c r="P140" s="301"/>
    </row>
    <row r="141" spans="3:16">
      <c r="C141" s="162">
        <f t="shared" si="126"/>
        <v>2025</v>
      </c>
      <c r="D141" s="190">
        <f t="shared" si="127"/>
        <v>0.02</v>
      </c>
      <c r="E141" s="8">
        <f t="shared" si="125"/>
        <v>15522.37645209768</v>
      </c>
      <c r="F141" s="9">
        <f t="shared" si="128"/>
        <v>18607.768095490635</v>
      </c>
      <c r="G141" s="9">
        <f t="shared" si="129"/>
        <v>-3085.3916433929553</v>
      </c>
      <c r="H141" s="9">
        <f t="shared" si="130"/>
        <v>12436.984808704725</v>
      </c>
      <c r="I141" s="365">
        <f t="shared" si="131"/>
        <v>-16280.936719714913</v>
      </c>
      <c r="J141" s="301"/>
      <c r="K141" s="301"/>
      <c r="L141" s="301"/>
      <c r="M141" s="301"/>
      <c r="N141" s="301"/>
      <c r="O141" s="301"/>
      <c r="P141" s="301"/>
    </row>
    <row r="142" spans="3:16">
      <c r="C142" s="162">
        <f t="shared" si="126"/>
        <v>2026</v>
      </c>
      <c r="D142" s="190">
        <f t="shared" si="127"/>
        <v>0.02</v>
      </c>
      <c r="E142" s="8">
        <f t="shared" si="125"/>
        <v>15571.157680917393</v>
      </c>
      <c r="F142" s="9">
        <f t="shared" si="128"/>
        <v>18979.923457400448</v>
      </c>
      <c r="G142" s="9">
        <f t="shared" si="129"/>
        <v>-3408.7657764830547</v>
      </c>
      <c r="H142" s="9">
        <f t="shared" si="130"/>
        <v>12162.391904434338</v>
      </c>
      <c r="I142" s="365">
        <f t="shared" si="131"/>
        <v>-19689.70249619797</v>
      </c>
      <c r="J142" s="301"/>
      <c r="K142" s="301"/>
      <c r="L142" s="301"/>
      <c r="M142" s="301"/>
      <c r="N142" s="301"/>
      <c r="O142" s="301"/>
      <c r="P142" s="301"/>
    </row>
    <row r="143" spans="3:16">
      <c r="C143" s="162">
        <f t="shared" si="126"/>
        <v>2027</v>
      </c>
      <c r="D143" s="190">
        <f t="shared" si="127"/>
        <v>0.02</v>
      </c>
      <c r="E143" s="8">
        <f t="shared" si="125"/>
        <v>15620.092211539346</v>
      </c>
      <c r="F143" s="9">
        <f t="shared" si="128"/>
        <v>19359.521926548456</v>
      </c>
      <c r="G143" s="9">
        <f t="shared" si="129"/>
        <v>-3739.4297150091097</v>
      </c>
      <c r="H143" s="9">
        <f t="shared" si="130"/>
        <v>11880.662496530236</v>
      </c>
      <c r="I143" s="365">
        <f t="shared" si="131"/>
        <v>-23429.132211207077</v>
      </c>
      <c r="J143" s="301"/>
      <c r="K143" s="301"/>
      <c r="L143" s="301"/>
      <c r="M143" s="301"/>
      <c r="N143" s="301"/>
      <c r="O143" s="301"/>
      <c r="P143" s="301"/>
    </row>
    <row r="144" spans="3:16">
      <c r="C144" s="162">
        <f t="shared" si="126"/>
        <v>2028</v>
      </c>
      <c r="D144" s="190">
        <f t="shared" si="127"/>
        <v>0.02</v>
      </c>
      <c r="E144" s="8">
        <f t="shared" si="125"/>
        <v>15669.180525735794</v>
      </c>
      <c r="F144" s="9">
        <f t="shared" si="128"/>
        <v>19746.712365079424</v>
      </c>
      <c r="G144" s="9">
        <f t="shared" si="129"/>
        <v>-4077.5318393436301</v>
      </c>
      <c r="H144" s="9">
        <f t="shared" si="130"/>
        <v>11591.648686392164</v>
      </c>
      <c r="I144" s="365">
        <f t="shared" si="131"/>
        <v>-27506.664050550709</v>
      </c>
      <c r="J144" s="301"/>
      <c r="K144" s="301"/>
      <c r="L144" s="301"/>
      <c r="M144" s="301"/>
      <c r="N144" s="301"/>
      <c r="O144" s="301"/>
      <c r="P144" s="301"/>
    </row>
    <row r="145" spans="3:16">
      <c r="C145" s="162">
        <f t="shared" si="126"/>
        <v>2029</v>
      </c>
      <c r="D145" s="190">
        <f t="shared" si="127"/>
        <v>0.02</v>
      </c>
      <c r="E145" s="8">
        <f t="shared" si="125"/>
        <v>15718.423106793027</v>
      </c>
      <c r="F145" s="9">
        <f t="shared" si="128"/>
        <v>20141.646612381013</v>
      </c>
      <c r="G145" s="9">
        <f t="shared" si="129"/>
        <v>-4423.2235055879864</v>
      </c>
      <c r="H145" s="9">
        <f t="shared" si="130"/>
        <v>11295.19960120504</v>
      </c>
      <c r="I145" s="365">
        <f t="shared" si="131"/>
        <v>-31929.887556138696</v>
      </c>
      <c r="J145" s="301"/>
      <c r="K145" s="301"/>
      <c r="L145" s="301"/>
      <c r="M145" s="301"/>
      <c r="N145" s="301"/>
      <c r="O145" s="301"/>
      <c r="P145" s="301"/>
    </row>
    <row r="146" spans="3:16">
      <c r="C146" s="162">
        <f t="shared" si="126"/>
        <v>2030</v>
      </c>
      <c r="D146" s="190">
        <f t="shared" si="127"/>
        <v>0.02</v>
      </c>
      <c r="E146" s="8">
        <f t="shared" si="125"/>
        <v>15767.82043951613</v>
      </c>
      <c r="F146" s="9">
        <f t="shared" si="128"/>
        <v>20544.479544628633</v>
      </c>
      <c r="G146" s="9">
        <f t="shared" si="129"/>
        <v>-4776.6591051125033</v>
      </c>
      <c r="H146" s="9">
        <f t="shared" si="130"/>
        <v>10991.161334403627</v>
      </c>
      <c r="I146" s="365">
        <f t="shared" si="131"/>
        <v>-36706.546661251195</v>
      </c>
      <c r="J146" s="301"/>
      <c r="K146" s="301"/>
      <c r="L146" s="301"/>
      <c r="M146" s="301"/>
      <c r="N146" s="301"/>
      <c r="O146" s="301"/>
      <c r="P146" s="301"/>
    </row>
    <row r="147" spans="3:16">
      <c r="C147" s="162">
        <f t="shared" si="126"/>
        <v>2031</v>
      </c>
      <c r="D147" s="190">
        <f t="shared" si="127"/>
        <v>0.02</v>
      </c>
      <c r="E147" s="8">
        <f t="shared" si="125"/>
        <v>15817.373010233756</v>
      </c>
      <c r="F147" s="9">
        <f t="shared" si="128"/>
        <v>20955.369135521207</v>
      </c>
      <c r="G147" s="9">
        <f t="shared" si="129"/>
        <v>-5137.9961252874509</v>
      </c>
      <c r="H147" s="9">
        <f t="shared" si="130"/>
        <v>10679.376884946305</v>
      </c>
      <c r="I147" s="365">
        <f t="shared" si="131"/>
        <v>-41844.542786538645</v>
      </c>
      <c r="J147" s="301"/>
      <c r="K147" s="301"/>
      <c r="L147" s="301"/>
      <c r="M147" s="301"/>
      <c r="N147" s="301"/>
      <c r="O147" s="301"/>
      <c r="P147" s="301"/>
    </row>
    <row r="148" spans="3:16">
      <c r="C148" s="162">
        <f t="shared" si="126"/>
        <v>2032</v>
      </c>
      <c r="D148" s="190">
        <f t="shared" si="127"/>
        <v>0.02</v>
      </c>
      <c r="E148" s="8">
        <f t="shared" si="125"/>
        <v>15867.081306802911</v>
      </c>
      <c r="F148" s="9">
        <f t="shared" si="128"/>
        <v>21374.47651823163</v>
      </c>
      <c r="G148" s="9">
        <f t="shared" si="129"/>
        <v>-5507.3952114287185</v>
      </c>
      <c r="H148" s="9">
        <f t="shared" si="130"/>
        <v>10359.686095374193</v>
      </c>
      <c r="I148" s="365">
        <f t="shared" si="131"/>
        <v>-47351.937997967361</v>
      </c>
      <c r="J148" s="301"/>
      <c r="K148" s="301"/>
      <c r="L148" s="301"/>
      <c r="M148" s="301"/>
      <c r="N148" s="301"/>
      <c r="O148" s="301"/>
      <c r="P148" s="301"/>
    </row>
    <row r="149" spans="3:16">
      <c r="C149" s="162">
        <f t="shared" si="126"/>
        <v>2033</v>
      </c>
      <c r="D149" s="190">
        <f t="shared" si="127"/>
        <v>0.02</v>
      </c>
      <c r="E149" s="8">
        <f t="shared" si="125"/>
        <v>15916.945818613764</v>
      </c>
      <c r="F149" s="9">
        <f t="shared" si="128"/>
        <v>21801.966048596263</v>
      </c>
      <c r="G149" s="9">
        <f t="shared" si="129"/>
        <v>-5885.0202299824996</v>
      </c>
      <c r="H149" s="9">
        <f t="shared" si="130"/>
        <v>10031.925588631264</v>
      </c>
      <c r="I149" s="365">
        <f t="shared" si="131"/>
        <v>-53236.958227949857</v>
      </c>
      <c r="J149" s="301"/>
      <c r="K149" s="301"/>
      <c r="L149" s="301"/>
      <c r="M149" s="301"/>
      <c r="N149" s="301"/>
      <c r="O149" s="301"/>
      <c r="P149" s="301"/>
    </row>
    <row r="150" spans="3:16">
      <c r="C150" s="162">
        <f t="shared" si="126"/>
        <v>2034</v>
      </c>
      <c r="D150" s="190">
        <f t="shared" si="127"/>
        <v>0.02</v>
      </c>
      <c r="E150" s="8">
        <f t="shared" si="125"/>
        <v>15966.967036594457</v>
      </c>
      <c r="F150" s="9">
        <f t="shared" si="128"/>
        <v>22238.005369568189</v>
      </c>
      <c r="G150" s="9">
        <f t="shared" si="129"/>
        <v>-6271.0383329737324</v>
      </c>
      <c r="H150" s="9">
        <f t="shared" si="130"/>
        <v>9695.9287036207243</v>
      </c>
      <c r="I150" s="365">
        <f t="shared" si="131"/>
        <v>-59507.996560923588</v>
      </c>
      <c r="J150" s="301"/>
      <c r="K150" s="301"/>
      <c r="L150" s="301"/>
      <c r="M150" s="301"/>
      <c r="N150" s="301"/>
      <c r="O150" s="301"/>
      <c r="P150" s="301"/>
    </row>
    <row r="151" spans="3:16">
      <c r="C151" s="162">
        <f t="shared" si="126"/>
        <v>2035</v>
      </c>
      <c r="D151" s="190">
        <f t="shared" si="127"/>
        <v>0.02</v>
      </c>
      <c r="E151" s="8">
        <f t="shared" si="125"/>
        <v>16017.145453215944</v>
      </c>
      <c r="F151" s="9">
        <f t="shared" si="128"/>
        <v>22682.765476959554</v>
      </c>
      <c r="G151" s="9">
        <f t="shared" si="129"/>
        <v>-6665.6200237436096</v>
      </c>
      <c r="H151" s="9">
        <f t="shared" si="130"/>
        <v>9351.5254294723345</v>
      </c>
      <c r="I151" s="365">
        <f t="shared" si="131"/>
        <v>-66173.616584667194</v>
      </c>
      <c r="J151" s="301"/>
      <c r="K151" s="301"/>
      <c r="L151" s="301"/>
      <c r="M151" s="301"/>
      <c r="N151" s="301"/>
      <c r="O151" s="301"/>
      <c r="P151" s="301"/>
    </row>
    <row r="152" spans="3:16">
      <c r="C152" s="162">
        <f t="shared" si="126"/>
        <v>2036</v>
      </c>
      <c r="D152" s="190">
        <f t="shared" si="127"/>
        <v>0.02</v>
      </c>
      <c r="E152" s="8">
        <f t="shared" si="125"/>
        <v>16067.481562496836</v>
      </c>
      <c r="F152" s="9">
        <f t="shared" si="128"/>
        <v>23136.420786498744</v>
      </c>
      <c r="G152" s="9">
        <f t="shared" si="129"/>
        <v>-7068.9392240019079</v>
      </c>
      <c r="H152" s="9">
        <f t="shared" si="130"/>
        <v>8998.5423384949281</v>
      </c>
      <c r="I152" s="365">
        <f t="shared" si="131"/>
        <v>-73242.555808669102</v>
      </c>
      <c r="J152" s="301"/>
      <c r="K152" s="301"/>
      <c r="L152" s="301"/>
      <c r="M152" s="301"/>
      <c r="N152" s="301"/>
      <c r="O152" s="301"/>
      <c r="P152" s="301"/>
    </row>
    <row r="153" spans="3:16">
      <c r="C153" s="162">
        <f t="shared" si="126"/>
        <v>2037</v>
      </c>
      <c r="D153" s="190">
        <f t="shared" si="127"/>
        <v>0.02</v>
      </c>
      <c r="E153" s="8">
        <f t="shared" si="125"/>
        <v>16117.975860008268</v>
      </c>
      <c r="F153" s="9">
        <f t="shared" si="128"/>
        <v>23599.14920222872</v>
      </c>
      <c r="G153" s="9">
        <f t="shared" si="129"/>
        <v>-7481.1733422204525</v>
      </c>
      <c r="H153" s="9">
        <f t="shared" si="130"/>
        <v>8636.8025177878153</v>
      </c>
      <c r="I153" s="365">
        <f t="shared" si="131"/>
        <v>-80723.729150889558</v>
      </c>
      <c r="J153" s="301"/>
      <c r="K153" s="301"/>
      <c r="L153" s="301"/>
      <c r="M153" s="301"/>
      <c r="N153" s="301"/>
      <c r="O153" s="301"/>
      <c r="P153" s="301"/>
    </row>
    <row r="154" spans="3:16">
      <c r="C154" s="162">
        <f t="shared" si="126"/>
        <v>2038</v>
      </c>
      <c r="D154" s="190">
        <f t="shared" si="127"/>
        <v>0.02</v>
      </c>
      <c r="E154" s="8">
        <f t="shared" si="125"/>
        <v>16168.628842878774</v>
      </c>
      <c r="F154" s="9">
        <f t="shared" si="128"/>
        <v>24071.132186273295</v>
      </c>
      <c r="G154" s="9">
        <f t="shared" si="129"/>
        <v>-7902.5033433945209</v>
      </c>
      <c r="H154" s="9">
        <f t="shared" si="130"/>
        <v>8266.1254994842529</v>
      </c>
      <c r="I154" s="365">
        <f t="shared" si="131"/>
        <v>-88626.232494284079</v>
      </c>
      <c r="J154" s="301"/>
      <c r="K154" s="301"/>
      <c r="L154" s="301"/>
      <c r="M154" s="301"/>
      <c r="N154" s="301"/>
      <c r="O154" s="301"/>
      <c r="P154" s="301"/>
    </row>
    <row r="155" spans="3:16">
      <c r="C155" s="162">
        <f t="shared" si="126"/>
        <v>2039</v>
      </c>
      <c r="D155" s="190">
        <f t="shared" si="127"/>
        <v>0.02</v>
      </c>
      <c r="E155" s="8">
        <f t="shared" si="125"/>
        <v>16219.441009799186</v>
      </c>
      <c r="F155" s="9">
        <f t="shared" si="128"/>
        <v>24552.55482999876</v>
      </c>
      <c r="G155" s="9">
        <f t="shared" si="129"/>
        <v>-8333.1138201995745</v>
      </c>
      <c r="H155" s="9">
        <f t="shared" si="130"/>
        <v>7886.3271895996113</v>
      </c>
      <c r="I155" s="365">
        <f t="shared" si="131"/>
        <v>-96959.346314483657</v>
      </c>
      <c r="J155" s="301"/>
      <c r="K155" s="301"/>
      <c r="L155" s="301"/>
      <c r="M155" s="301"/>
      <c r="N155" s="301"/>
      <c r="O155" s="301"/>
      <c r="P155" s="301"/>
    </row>
    <row r="156" spans="3:16">
      <c r="C156" s="162">
        <f t="shared" si="126"/>
        <v>2040</v>
      </c>
      <c r="D156" s="190">
        <f t="shared" si="127"/>
        <v>0.02</v>
      </c>
      <c r="E156" s="8">
        <f t="shared" si="125"/>
        <v>16270.41286102754</v>
      </c>
      <c r="F156" s="9">
        <f t="shared" si="128"/>
        <v>25043.605926598735</v>
      </c>
      <c r="G156" s="9">
        <f t="shared" si="129"/>
        <v>-8773.1930655711949</v>
      </c>
      <c r="H156" s="9">
        <f t="shared" si="130"/>
        <v>7497.2197954563453</v>
      </c>
      <c r="I156" s="365">
        <f t="shared" si="131"/>
        <v>-105732.53938005485</v>
      </c>
      <c r="J156" s="301"/>
      <c r="K156" s="301"/>
      <c r="L156" s="301"/>
      <c r="M156" s="301"/>
      <c r="N156" s="301"/>
      <c r="O156" s="301"/>
      <c r="P156" s="301"/>
    </row>
    <row r="157" spans="3:16">
      <c r="C157" s="162">
        <f t="shared" si="126"/>
        <v>2041</v>
      </c>
      <c r="D157" s="190">
        <f t="shared" si="127"/>
        <v>0.02</v>
      </c>
      <c r="E157" s="8">
        <f t="shared" si="125"/>
        <v>16321.544898394004</v>
      </c>
      <c r="F157" s="9">
        <f t="shared" si="128"/>
        <v>25544.478045130709</v>
      </c>
      <c r="G157" s="9">
        <f t="shared" si="129"/>
        <v>-9222.9331467367047</v>
      </c>
      <c r="H157" s="9">
        <f t="shared" si="130"/>
        <v>7098.6117516572995</v>
      </c>
      <c r="I157" s="365">
        <f t="shared" si="131"/>
        <v>-114955.47252679155</v>
      </c>
      <c r="J157" s="301"/>
      <c r="K157" s="301"/>
      <c r="L157" s="301"/>
      <c r="M157" s="301"/>
      <c r="N157" s="301"/>
      <c r="O157" s="301"/>
      <c r="P157" s="301"/>
    </row>
    <row r="158" spans="3:16">
      <c r="C158" s="162">
        <f t="shared" si="126"/>
        <v>2042</v>
      </c>
      <c r="D158" s="190">
        <f t="shared" si="127"/>
        <v>0.02</v>
      </c>
      <c r="E158" s="8">
        <f t="shared" si="125"/>
        <v>16372.837625305814</v>
      </c>
      <c r="F158" s="9">
        <f t="shared" si="128"/>
        <v>26055.367606033324</v>
      </c>
      <c r="G158" s="9">
        <f t="shared" si="129"/>
        <v>-9682.5299807275096</v>
      </c>
      <c r="H158" s="9">
        <f t="shared" si="130"/>
        <v>6690.3076445783045</v>
      </c>
      <c r="I158" s="365">
        <f t="shared" si="131"/>
        <v>-124638.00250751906</v>
      </c>
      <c r="J158" s="301"/>
      <c r="K158" s="301"/>
      <c r="L158" s="301"/>
      <c r="M158" s="301"/>
      <c r="N158" s="301"/>
      <c r="O158" s="301"/>
      <c r="P158" s="301"/>
    </row>
    <row r="159" spans="3:16">
      <c r="C159" s="162">
        <f t="shared" si="126"/>
        <v>2043</v>
      </c>
      <c r="D159" s="190">
        <f t="shared" si="127"/>
        <v>0.02</v>
      </c>
      <c r="E159" s="8">
        <f t="shared" si="125"/>
        <v>16424.291546752236</v>
      </c>
      <c r="F159" s="9">
        <f t="shared" si="128"/>
        <v>26576.474958153991</v>
      </c>
      <c r="G159" s="9">
        <f t="shared" si="129"/>
        <v>-10152.183411401755</v>
      </c>
      <c r="H159" s="9">
        <f t="shared" si="130"/>
        <v>6272.1081353504815</v>
      </c>
      <c r="I159" s="365">
        <f t="shared" si="131"/>
        <v>-134790.18591892082</v>
      </c>
      <c r="J159" s="301"/>
      <c r="K159" s="301"/>
      <c r="L159" s="301"/>
      <c r="M159" s="301"/>
      <c r="N159" s="301"/>
      <c r="O159" s="301"/>
      <c r="P159" s="301"/>
    </row>
    <row r="160" spans="3:16">
      <c r="C160" s="162">
        <f t="shared" si="126"/>
        <v>2044</v>
      </c>
      <c r="D160" s="190">
        <f t="shared" si="127"/>
        <v>0.02</v>
      </c>
      <c r="E160" s="8">
        <f t="shared" si="125"/>
        <v>16475.907169309536</v>
      </c>
      <c r="F160" s="9">
        <f t="shared" si="128"/>
        <v>27108.004457317071</v>
      </c>
      <c r="G160" s="9">
        <f t="shared" si="129"/>
        <v>-10632.097288007535</v>
      </c>
      <c r="H160" s="9">
        <f t="shared" si="130"/>
        <v>5843.8098813020006</v>
      </c>
      <c r="I160" s="365">
        <f t="shared" si="131"/>
        <v>-145422.28320692835</v>
      </c>
      <c r="J160" s="301"/>
      <c r="K160" s="301"/>
      <c r="L160" s="301"/>
      <c r="M160" s="301"/>
      <c r="N160" s="301"/>
      <c r="O160" s="301"/>
      <c r="P160" s="301"/>
    </row>
    <row r="161" spans="3:16">
      <c r="C161" s="162">
        <f t="shared" si="126"/>
        <v>2045</v>
      </c>
      <c r="D161" s="190">
        <f t="shared" si="127"/>
        <v>0.02</v>
      </c>
      <c r="E161" s="8">
        <f t="shared" si="125"/>
        <v>16527.685001145961</v>
      </c>
      <c r="F161" s="9">
        <f t="shared" si="128"/>
        <v>27650.164546463413</v>
      </c>
      <c r="G161" s="9">
        <f t="shared" si="129"/>
        <v>-11122.479545317452</v>
      </c>
      <c r="H161" s="9">
        <f t="shared" si="130"/>
        <v>5405.205455828509</v>
      </c>
      <c r="I161" s="365">
        <f t="shared" si="131"/>
        <v>-156544.76275224579</v>
      </c>
      <c r="J161" s="301"/>
      <c r="K161" s="301"/>
      <c r="L161" s="301"/>
      <c r="M161" s="301"/>
      <c r="N161" s="301"/>
      <c r="O161" s="301"/>
      <c r="P161" s="301"/>
    </row>
    <row r="162" spans="3:16">
      <c r="C162" s="162">
        <f t="shared" ref="C162" si="132">C47</f>
        <v>2046</v>
      </c>
      <c r="D162" s="190">
        <f t="shared" ref="D162" si="133">G47</f>
        <v>0.02</v>
      </c>
      <c r="E162" s="8">
        <f t="shared" ref="E162" si="134">O47</f>
        <v>16579.625552026755</v>
      </c>
      <c r="F162" s="9">
        <f t="shared" ref="F162" si="135">I47</f>
        <v>28203.167837392681</v>
      </c>
      <c r="G162" s="9">
        <f t="shared" ref="G162" si="136">Q47</f>
        <v>-11623.542285365926</v>
      </c>
      <c r="H162" s="9">
        <f t="shared" si="130"/>
        <v>4956.0832666608294</v>
      </c>
      <c r="I162" s="365">
        <f t="shared" si="131"/>
        <v>-168168.30503761172</v>
      </c>
      <c r="J162" s="301"/>
      <c r="K162" s="301"/>
      <c r="L162" s="301"/>
      <c r="M162" s="301"/>
      <c r="N162" s="301"/>
      <c r="O162" s="301"/>
      <c r="P162" s="301"/>
    </row>
  </sheetData>
  <sheetProtection algorithmName="SHA-512" hashValue="0ihKXRNUHIz4MVj8v2ST5DqfwvmNEQCwCtP78WpS3VbN1dBmY9LYjshaEpxlrj89EnAJfhjU58Wj/VdHi5dBxA==" saltValue="ldP4jze6Rk8n2VYV6hKjpA==" spinCount="100000" sheet="1" objects="1" scenarios="1"/>
  <mergeCells count="55">
    <mergeCell ref="AT54:AW54"/>
    <mergeCell ref="BA54:BD54"/>
    <mergeCell ref="E2:I2"/>
    <mergeCell ref="U54:Y54"/>
    <mergeCell ref="AB54:AE54"/>
    <mergeCell ref="AH54:AK54"/>
    <mergeCell ref="AN54:AQ54"/>
    <mergeCell ref="AS48:AT48"/>
    <mergeCell ref="AS49:AT49"/>
    <mergeCell ref="AZ51:BB51"/>
    <mergeCell ref="AR11:AW11"/>
    <mergeCell ref="AG51:AI51"/>
    <mergeCell ref="T11:X11"/>
    <mergeCell ref="AA51:AC51"/>
    <mergeCell ref="E4:T4"/>
    <mergeCell ref="T48:U48"/>
    <mergeCell ref="T6:U6"/>
    <mergeCell ref="C48:E48"/>
    <mergeCell ref="J11:K11"/>
    <mergeCell ref="H16:I16"/>
    <mergeCell ref="T8:BS9"/>
    <mergeCell ref="BX13:BZ13"/>
    <mergeCell ref="BV13:BW13"/>
    <mergeCell ref="H11:I11"/>
    <mergeCell ref="H12:I12"/>
    <mergeCell ref="BL11:BO11"/>
    <mergeCell ref="BP11:BS11"/>
    <mergeCell ref="BV11:BZ11"/>
    <mergeCell ref="BX12:BZ12"/>
    <mergeCell ref="BV12:BW12"/>
    <mergeCell ref="C132:D132"/>
    <mergeCell ref="D62:G62"/>
    <mergeCell ref="AL11:AP11"/>
    <mergeCell ref="AS51:AU51"/>
    <mergeCell ref="T49:U49"/>
    <mergeCell ref="M49:N49"/>
    <mergeCell ref="Z48:AA48"/>
    <mergeCell ref="Z49:AA49"/>
    <mergeCell ref="AF48:AG48"/>
    <mergeCell ref="AF49:AG49"/>
    <mergeCell ref="AL48:AM48"/>
    <mergeCell ref="AL49:AM49"/>
    <mergeCell ref="AF11:AJ11"/>
    <mergeCell ref="AM51:AO51"/>
    <mergeCell ref="H13:I13"/>
    <mergeCell ref="M48:N48"/>
    <mergeCell ref="B15:B17"/>
    <mergeCell ref="AG10:AK10"/>
    <mergeCell ref="AZ11:BC11"/>
    <mergeCell ref="BD11:BG11"/>
    <mergeCell ref="BH11:BK11"/>
    <mergeCell ref="Z11:AD11"/>
    <mergeCell ref="C11:G13"/>
    <mergeCell ref="AA10:AE10"/>
    <mergeCell ref="M11:R13"/>
  </mergeCells>
  <conditionalFormatting sqref="R48">
    <cfRule type="cellIs" dxfId="128" priority="528" operator="lessThan">
      <formula>0</formula>
    </cfRule>
  </conditionalFormatting>
  <conditionalFormatting sqref="X48">
    <cfRule type="cellIs" dxfId="127" priority="522" operator="lessThan">
      <formula>0</formula>
    </cfRule>
  </conditionalFormatting>
  <conditionalFormatting sqref="AD48">
    <cfRule type="cellIs" dxfId="126" priority="521" operator="lessThan">
      <formula>0</formula>
    </cfRule>
  </conditionalFormatting>
  <conditionalFormatting sqref="AJ48">
    <cfRule type="cellIs" dxfId="125" priority="515" operator="lessThan">
      <formula>0</formula>
    </cfRule>
  </conditionalFormatting>
  <conditionalFormatting sqref="AP48">
    <cfRule type="cellIs" dxfId="124" priority="512" operator="lessThan">
      <formula>0</formula>
    </cfRule>
  </conditionalFormatting>
  <conditionalFormatting sqref="AW48">
    <cfRule type="cellIs" dxfId="123" priority="488" operator="lessThan">
      <formula>0</formula>
    </cfRule>
  </conditionalFormatting>
  <conditionalFormatting sqref="M18:M47">
    <cfRule type="cellIs" dxfId="122" priority="137" operator="equal">
      <formula>0</formula>
    </cfRule>
    <cfRule type="cellIs" dxfId="121" priority="138" operator="lessThan">
      <formula>0</formula>
    </cfRule>
    <cfRule type="cellIs" dxfId="120" priority="139" operator="greaterThan">
      <formula>0</formula>
    </cfRule>
  </conditionalFormatting>
  <conditionalFormatting sqref="T18">
    <cfRule type="cellIs" dxfId="119" priority="134" operator="equal">
      <formula>0</formula>
    </cfRule>
    <cfRule type="cellIs" dxfId="118" priority="135" operator="lessThan">
      <formula>0</formula>
    </cfRule>
    <cfRule type="cellIs" dxfId="117" priority="136" operator="greaterThan">
      <formula>0</formula>
    </cfRule>
  </conditionalFormatting>
  <conditionalFormatting sqref="AS18">
    <cfRule type="cellIs" dxfId="116" priority="84" operator="equal">
      <formula>0</formula>
    </cfRule>
    <cfRule type="cellIs" dxfId="115" priority="85" operator="lessThan">
      <formula>0</formula>
    </cfRule>
    <cfRule type="cellIs" dxfId="114" priority="86" operator="greaterThan">
      <formula>0</formula>
    </cfRule>
  </conditionalFormatting>
  <conditionalFormatting sqref="Z18">
    <cfRule type="cellIs" dxfId="113" priority="122" operator="equal">
      <formula>0</formula>
    </cfRule>
    <cfRule type="cellIs" dxfId="112" priority="123" operator="lessThan">
      <formula>0</formula>
    </cfRule>
    <cfRule type="cellIs" dxfId="111" priority="124" operator="greaterThan">
      <formula>0</formula>
    </cfRule>
  </conditionalFormatting>
  <conditionalFormatting sqref="T19:T47">
    <cfRule type="cellIs" dxfId="110" priority="116" operator="equal">
      <formula>0</formula>
    </cfRule>
    <cfRule type="cellIs" dxfId="109" priority="117" operator="lessThan">
      <formula>0</formula>
    </cfRule>
    <cfRule type="cellIs" dxfId="108" priority="118" operator="greaterThan">
      <formula>0</formula>
    </cfRule>
  </conditionalFormatting>
  <conditionalFormatting sqref="Z19:Z47">
    <cfRule type="cellIs" dxfId="107" priority="113" operator="equal">
      <formula>0</formula>
    </cfRule>
    <cfRule type="cellIs" dxfId="106" priority="114" operator="lessThan">
      <formula>0</formula>
    </cfRule>
    <cfRule type="cellIs" dxfId="105" priority="115" operator="greaterThan">
      <formula>0</formula>
    </cfRule>
  </conditionalFormatting>
  <conditionalFormatting sqref="G17">
    <cfRule type="cellIs" dxfId="104" priority="110" operator="equal">
      <formula>0</formula>
    </cfRule>
    <cfRule type="cellIs" dxfId="103" priority="111" operator="lessThan">
      <formula>0</formula>
    </cfRule>
    <cfRule type="cellIs" dxfId="102" priority="112" operator="greaterThan">
      <formula>0</formula>
    </cfRule>
  </conditionalFormatting>
  <conditionalFormatting sqref="G18:G47">
    <cfRule type="cellIs" dxfId="101" priority="107" operator="equal">
      <formula>0</formula>
    </cfRule>
    <cfRule type="cellIs" dxfId="100" priority="108" operator="lessThan">
      <formula>0</formula>
    </cfRule>
    <cfRule type="cellIs" dxfId="99" priority="109" operator="greaterThan">
      <formula>0</formula>
    </cfRule>
  </conditionalFormatting>
  <conditionalFormatting sqref="AF18">
    <cfRule type="cellIs" dxfId="98" priority="104" operator="equal">
      <formula>0</formula>
    </cfRule>
    <cfRule type="cellIs" dxfId="97" priority="105" operator="lessThan">
      <formula>0</formula>
    </cfRule>
    <cfRule type="cellIs" dxfId="96" priority="106" operator="greaterThan">
      <formula>0</formula>
    </cfRule>
  </conditionalFormatting>
  <conditionalFormatting sqref="AF19:AF47">
    <cfRule type="cellIs" dxfId="95" priority="101" operator="equal">
      <formula>0</formula>
    </cfRule>
    <cfRule type="cellIs" dxfId="94" priority="102" operator="lessThan">
      <formula>0</formula>
    </cfRule>
    <cfRule type="cellIs" dxfId="93" priority="103" operator="greaterThan">
      <formula>0</formula>
    </cfRule>
  </conditionalFormatting>
  <conditionalFormatting sqref="AL18">
    <cfRule type="cellIs" dxfId="92" priority="98" operator="equal">
      <formula>0</formula>
    </cfRule>
    <cfRule type="cellIs" dxfId="91" priority="99" operator="lessThan">
      <formula>0</formula>
    </cfRule>
    <cfRule type="cellIs" dxfId="90" priority="100" operator="greaterThan">
      <formula>0</formula>
    </cfRule>
  </conditionalFormatting>
  <conditionalFormatting sqref="AL19:AL47">
    <cfRule type="cellIs" dxfId="89" priority="95" operator="equal">
      <formula>0</formula>
    </cfRule>
    <cfRule type="cellIs" dxfId="88" priority="96" operator="lessThan">
      <formula>0</formula>
    </cfRule>
    <cfRule type="cellIs" dxfId="87" priority="97" operator="greaterThan">
      <formula>0</formula>
    </cfRule>
  </conditionalFormatting>
  <conditionalFormatting sqref="AS20:AS47">
    <cfRule type="cellIs" dxfId="86" priority="81" operator="equal">
      <formula>0</formula>
    </cfRule>
    <cfRule type="cellIs" dxfId="85" priority="82" operator="lessThan">
      <formula>0</formula>
    </cfRule>
    <cfRule type="cellIs" dxfId="84" priority="83" operator="greaterThan">
      <formula>0</formula>
    </cfRule>
  </conditionalFormatting>
  <conditionalFormatting sqref="AR18">
    <cfRule type="cellIs" dxfId="83" priority="78" operator="equal">
      <formula>0</formula>
    </cfRule>
    <cfRule type="cellIs" dxfId="82" priority="79" operator="lessThan">
      <formula>0</formula>
    </cfRule>
    <cfRule type="cellIs" dxfId="81" priority="80" operator="greaterThan">
      <formula>0</formula>
    </cfRule>
  </conditionalFormatting>
  <conditionalFormatting sqref="AR19:AR47">
    <cfRule type="cellIs" dxfId="80" priority="75" operator="equal">
      <formula>0</formula>
    </cfRule>
    <cfRule type="cellIs" dxfId="79" priority="76" operator="lessThan">
      <formula>0</formula>
    </cfRule>
    <cfRule type="cellIs" dxfId="78" priority="77" operator="greaterThan">
      <formula>0</formula>
    </cfRule>
  </conditionalFormatting>
  <conditionalFormatting sqref="X56:Y61">
    <cfRule type="cellIs" dxfId="77" priority="70" operator="lessThan">
      <formula>0</formula>
    </cfRule>
  </conditionalFormatting>
  <conditionalFormatting sqref="AS19">
    <cfRule type="cellIs" dxfId="76" priority="58" operator="equal">
      <formula>0</formula>
    </cfRule>
    <cfRule type="cellIs" dxfId="75" priority="59" operator="lessThan">
      <formula>0</formula>
    </cfRule>
    <cfRule type="cellIs" dxfId="74" priority="60" operator="greaterThan">
      <formula>0</formula>
    </cfRule>
  </conditionalFormatting>
  <conditionalFormatting sqref="N18">
    <cfRule type="cellIs" dxfId="73" priority="24" operator="lessThan">
      <formula>0.01</formula>
    </cfRule>
  </conditionalFormatting>
  <conditionalFormatting sqref="C18:C47">
    <cfRule type="cellIs" dxfId="72" priority="27" operator="lessThan">
      <formula>$V$6</formula>
    </cfRule>
    <cfRule type="cellIs" dxfId="71" priority="28" operator="greaterThan">
      <formula>$V$6</formula>
    </cfRule>
  </conditionalFormatting>
  <conditionalFormatting sqref="U18">
    <cfRule type="cellIs" dxfId="70" priority="22" operator="lessThan">
      <formula>0.01</formula>
    </cfRule>
  </conditionalFormatting>
  <conditionalFormatting sqref="AA18">
    <cfRule type="cellIs" dxfId="69" priority="21" operator="lessThan">
      <formula>0.01</formula>
    </cfRule>
  </conditionalFormatting>
  <conditionalFormatting sqref="AG18">
    <cfRule type="cellIs" dxfId="68" priority="20" operator="lessThan">
      <formula>0.01</formula>
    </cfRule>
  </conditionalFormatting>
  <conditionalFormatting sqref="AM18">
    <cfRule type="cellIs" dxfId="67" priority="19" operator="lessThan">
      <formula>0.01</formula>
    </cfRule>
  </conditionalFormatting>
  <conditionalFormatting sqref="AT18">
    <cfRule type="cellIs" dxfId="66" priority="18" operator="lessThan">
      <formula>0.01</formula>
    </cfRule>
  </conditionalFormatting>
  <conditionalFormatting sqref="C133:C162">
    <cfRule type="cellIs" dxfId="65" priority="11" operator="equal">
      <formula>$V$6</formula>
    </cfRule>
    <cfRule type="cellIs" dxfId="64" priority="12" operator="greaterThan">
      <formula>$V$6</formula>
    </cfRule>
    <cfRule type="cellIs" dxfId="63" priority="13" operator="lessThan">
      <formula>$V$6</formula>
    </cfRule>
  </conditionalFormatting>
  <conditionalFormatting sqref="G51:G53 H63:H80 G62">
    <cfRule type="cellIs" dxfId="62" priority="9" operator="lessThan">
      <formula>$V$6</formula>
    </cfRule>
    <cfRule type="cellIs" dxfId="61" priority="10" operator="lessThan">
      <formula>$V$6</formula>
    </cfRule>
  </conditionalFormatting>
  <conditionalFormatting sqref="N19:N47">
    <cfRule type="cellIs" dxfId="60" priority="6" operator="lessThan">
      <formula>0.01</formula>
    </cfRule>
  </conditionalFormatting>
  <conditionalFormatting sqref="U19:U47">
    <cfRule type="cellIs" dxfId="59" priority="5" operator="lessThan">
      <formula>0.01</formula>
    </cfRule>
  </conditionalFormatting>
  <conditionalFormatting sqref="AA19:AA47">
    <cfRule type="cellIs" dxfId="58" priority="4" operator="lessThan">
      <formula>0.01</formula>
    </cfRule>
  </conditionalFormatting>
  <conditionalFormatting sqref="AG19:AG47">
    <cfRule type="cellIs" dxfId="57" priority="3" operator="lessThan">
      <formula>0.01</formula>
    </cfRule>
  </conditionalFormatting>
  <conditionalFormatting sqref="AM19:AM47">
    <cfRule type="cellIs" dxfId="56" priority="2" operator="lessThan">
      <formula>0.01</formula>
    </cfRule>
  </conditionalFormatting>
  <conditionalFormatting sqref="AT19:AT47">
    <cfRule type="cellIs" dxfId="55" priority="1" operator="lessThan">
      <formula>0.01</formula>
    </cfRule>
  </conditionalFormatting>
  <pageMargins left="0.70866141732283472" right="0.70866141732283472" top="0.74803149606299213" bottom="0.74803149606299213" header="0.31496062992125984" footer="0.31496062992125984"/>
  <pageSetup paperSize="9" scale="8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2D75-5509-8D42-BCCF-A6057AEA0C4D}">
  <dimension ref="B1:BD99"/>
  <sheetViews>
    <sheetView topLeftCell="A5" zoomScale="70" zoomScaleNormal="70" workbookViewId="0">
      <selection activeCell="B2" sqref="B2"/>
    </sheetView>
  </sheetViews>
  <sheetFormatPr baseColWidth="10" defaultRowHeight="15"/>
  <cols>
    <col min="1" max="1" width="5" customWidth="1"/>
    <col min="2" max="2" width="14" customWidth="1"/>
    <col min="3" max="11" width="11.83203125" customWidth="1"/>
    <col min="12" max="12" width="9.33203125" customWidth="1"/>
    <col min="13" max="13" width="8.1640625" customWidth="1"/>
    <col min="14" max="14" width="13.83203125" customWidth="1"/>
    <col min="15" max="15" width="10.33203125" customWidth="1"/>
    <col min="16" max="16" width="13.6640625" customWidth="1"/>
    <col min="17" max="17" width="10.33203125" customWidth="1"/>
    <col min="18" max="18" width="17.1640625" customWidth="1"/>
    <col min="19" max="19" width="13.1640625" customWidth="1"/>
    <col min="20" max="20" width="14.6640625" customWidth="1"/>
    <col min="21" max="21" width="6.1640625" customWidth="1"/>
    <col min="23" max="23" width="16" customWidth="1"/>
    <col min="24" max="24" width="17.5" customWidth="1"/>
    <col min="26" max="26" width="7.5" customWidth="1"/>
    <col min="27" max="27" width="5.83203125" customWidth="1"/>
    <col min="30" max="30" width="12.33203125" customWidth="1"/>
  </cols>
  <sheetData>
    <row r="1" spans="2:55" ht="31" customHeight="1" thickBot="1">
      <c r="C1" s="734" t="s">
        <v>283</v>
      </c>
      <c r="D1" s="735"/>
      <c r="E1" s="735"/>
      <c r="F1" s="735"/>
      <c r="G1" s="735"/>
      <c r="H1" s="735"/>
      <c r="I1" s="735"/>
      <c r="J1" s="735"/>
      <c r="K1" s="735"/>
      <c r="L1" s="735"/>
      <c r="M1" s="735"/>
      <c r="N1" s="735"/>
      <c r="O1" s="735"/>
      <c r="P1" s="735"/>
      <c r="Q1" s="735"/>
      <c r="R1" s="736"/>
    </row>
    <row r="2" spans="2:55" ht="31" customHeight="1" thickBot="1">
      <c r="C2" s="737"/>
      <c r="D2" s="738"/>
      <c r="E2" s="738"/>
      <c r="F2" s="738"/>
      <c r="G2" s="738"/>
      <c r="H2" s="738"/>
      <c r="I2" s="738"/>
      <c r="J2" s="738"/>
      <c r="K2" s="738"/>
      <c r="L2" s="738"/>
      <c r="M2" s="738"/>
      <c r="N2" s="738"/>
      <c r="O2" s="738"/>
      <c r="P2" s="738"/>
      <c r="Q2" s="738"/>
      <c r="R2" s="739"/>
      <c r="AB2" s="742" t="s">
        <v>298</v>
      </c>
      <c r="AC2" s="743"/>
      <c r="AD2" s="743"/>
      <c r="AE2" s="743"/>
      <c r="AF2" s="743"/>
      <c r="AG2" s="743"/>
      <c r="AH2" s="743"/>
      <c r="AI2" s="743"/>
      <c r="AJ2" s="743"/>
      <c r="AK2" s="743"/>
      <c r="AL2" s="743"/>
      <c r="AM2" s="743"/>
      <c r="AN2" s="744"/>
    </row>
    <row r="3" spans="2:55" ht="26" customHeight="1" thickBot="1">
      <c r="C3" s="538" t="s">
        <v>219</v>
      </c>
      <c r="D3" s="538" t="s">
        <v>52</v>
      </c>
      <c r="E3" s="538" t="s">
        <v>53</v>
      </c>
      <c r="F3" s="538" t="s">
        <v>24</v>
      </c>
      <c r="G3" s="535" t="s">
        <v>220</v>
      </c>
      <c r="H3" s="762" t="s">
        <v>221</v>
      </c>
      <c r="I3" s="762" t="s">
        <v>32</v>
      </c>
      <c r="J3" s="762" t="s">
        <v>35</v>
      </c>
      <c r="K3" s="762" t="s">
        <v>226</v>
      </c>
      <c r="L3" s="762" t="s">
        <v>227</v>
      </c>
      <c r="M3" s="525" t="s">
        <v>77</v>
      </c>
      <c r="N3" s="525" t="s">
        <v>222</v>
      </c>
      <c r="O3" s="765" t="s">
        <v>223</v>
      </c>
      <c r="P3" s="525" t="s">
        <v>60</v>
      </c>
      <c r="Q3" s="525" t="s">
        <v>224</v>
      </c>
      <c r="R3" s="759" t="s">
        <v>225</v>
      </c>
      <c r="Z3" t="s">
        <v>12</v>
      </c>
      <c r="AB3" s="745"/>
      <c r="AC3" s="746"/>
      <c r="AD3" s="746"/>
      <c r="AE3" s="746"/>
      <c r="AF3" s="746"/>
      <c r="AG3" s="746"/>
      <c r="AH3" s="746"/>
      <c r="AI3" s="746"/>
      <c r="AJ3" s="746"/>
      <c r="AK3" s="746"/>
      <c r="AL3" s="746"/>
      <c r="AM3" s="746"/>
      <c r="AN3" s="747"/>
    </row>
    <row r="4" spans="2:55" ht="59" customHeight="1" thickBot="1">
      <c r="C4" s="733"/>
      <c r="D4" s="733"/>
      <c r="E4" s="733"/>
      <c r="F4" s="733"/>
      <c r="G4" s="761"/>
      <c r="H4" s="763"/>
      <c r="I4" s="763"/>
      <c r="J4" s="763"/>
      <c r="K4" s="763"/>
      <c r="L4" s="763"/>
      <c r="M4" s="764"/>
      <c r="N4" s="764"/>
      <c r="O4" s="766"/>
      <c r="P4" s="764"/>
      <c r="Q4" s="764"/>
      <c r="R4" s="760"/>
      <c r="V4" s="37"/>
      <c r="AB4" s="773" t="s">
        <v>300</v>
      </c>
      <c r="AC4" s="774"/>
      <c r="AD4" s="774"/>
      <c r="AE4" s="774"/>
      <c r="AF4" s="774"/>
      <c r="AG4" s="774"/>
      <c r="AH4" s="774"/>
      <c r="AI4" s="774"/>
      <c r="AJ4" s="774"/>
      <c r="AK4" s="774"/>
      <c r="AL4" s="774"/>
      <c r="AM4" s="774"/>
      <c r="AN4" s="775"/>
    </row>
    <row r="5" spans="2:55" ht="35" customHeight="1" thickBot="1">
      <c r="C5" s="472">
        <f>'MASTER SUMMARY'!M8</f>
        <v>1955</v>
      </c>
      <c r="D5" s="473">
        <f>'MASTER SUMMARY'!M9</f>
        <v>1980</v>
      </c>
      <c r="E5" s="473">
        <f>'MASTER SUMMARY'!M10</f>
        <v>1999</v>
      </c>
      <c r="F5" s="474">
        <f>'MASTER SUMMARY'!M12</f>
        <v>2017</v>
      </c>
      <c r="G5" s="474">
        <f>D5-C5</f>
        <v>25</v>
      </c>
      <c r="H5" s="473">
        <f>E5-C5</f>
        <v>44</v>
      </c>
      <c r="I5" s="473">
        <v>2021</v>
      </c>
      <c r="J5" s="473">
        <f>I5-C5</f>
        <v>66</v>
      </c>
      <c r="K5" s="473">
        <f>IF(C5&lt;1955,65,66)</f>
        <v>66</v>
      </c>
      <c r="L5" s="473">
        <f>C5+K5</f>
        <v>2021</v>
      </c>
      <c r="M5" s="475">
        <f>E5-D5</f>
        <v>19</v>
      </c>
      <c r="N5" s="475">
        <f>IF(E5&lt;O5,M5,O5-D5)</f>
        <v>17</v>
      </c>
      <c r="O5" s="476">
        <v>1997</v>
      </c>
      <c r="P5" s="475">
        <f>IF(E5-O5&gt;0,E5-O5,0)</f>
        <v>2</v>
      </c>
      <c r="Q5" s="477">
        <f>40-N5</f>
        <v>23</v>
      </c>
      <c r="R5" s="478">
        <f>L5-O5</f>
        <v>24</v>
      </c>
      <c r="AB5" s="776"/>
      <c r="AC5" s="777"/>
      <c r="AD5" s="777"/>
      <c r="AE5" s="777"/>
      <c r="AF5" s="777"/>
      <c r="AG5" s="777"/>
      <c r="AH5" s="777"/>
      <c r="AI5" s="777"/>
      <c r="AJ5" s="777"/>
      <c r="AK5" s="777"/>
      <c r="AL5" s="777"/>
      <c r="AM5" s="777"/>
      <c r="AN5" s="778"/>
      <c r="AV5" s="101"/>
      <c r="AW5" s="101"/>
      <c r="AX5" s="101"/>
      <c r="AY5" s="101"/>
      <c r="AZ5" s="101"/>
      <c r="BA5" s="101"/>
      <c r="BB5" s="101"/>
      <c r="BC5" s="101"/>
    </row>
    <row r="6" spans="2:55" ht="45" customHeight="1" thickBot="1">
      <c r="C6" s="748" t="s">
        <v>310</v>
      </c>
      <c r="D6" s="749"/>
      <c r="E6" s="749"/>
      <c r="F6" s="749"/>
      <c r="G6" s="749"/>
      <c r="H6" s="749"/>
      <c r="I6" s="749"/>
      <c r="J6" s="749"/>
      <c r="K6" s="749"/>
      <c r="L6" s="749"/>
      <c r="M6" s="749"/>
      <c r="N6" s="749"/>
      <c r="O6" s="749"/>
      <c r="P6" s="749"/>
      <c r="Q6" s="749"/>
      <c r="R6" s="749"/>
      <c r="S6" s="750"/>
      <c r="V6" s="795" t="s">
        <v>131</v>
      </c>
      <c r="W6" s="796"/>
      <c r="X6" s="797"/>
      <c r="AB6" s="767" t="s">
        <v>65</v>
      </c>
      <c r="AC6" s="768"/>
      <c r="AD6" s="769" t="s">
        <v>148</v>
      </c>
      <c r="AE6" s="770"/>
      <c r="AF6" s="771" t="s">
        <v>109</v>
      </c>
      <c r="AG6" s="772"/>
      <c r="AH6" s="771" t="s">
        <v>110</v>
      </c>
      <c r="AI6" s="772"/>
      <c r="AJ6" s="719" t="s">
        <v>111</v>
      </c>
      <c r="AK6" s="720"/>
      <c r="AL6" s="792" t="s">
        <v>113</v>
      </c>
      <c r="AM6" s="793"/>
      <c r="AN6" s="794"/>
      <c r="AQ6" s="791" t="s">
        <v>147</v>
      </c>
      <c r="AR6" s="791"/>
      <c r="AS6" s="791"/>
      <c r="AT6" s="791"/>
      <c r="AU6" s="791"/>
      <c r="AV6" s="791"/>
      <c r="AW6" s="791"/>
      <c r="AX6" s="791"/>
      <c r="AY6" s="791"/>
      <c r="AZ6" s="791"/>
      <c r="BA6" s="791"/>
      <c r="BB6" s="791"/>
      <c r="BC6" s="791"/>
    </row>
    <row r="7" spans="2:55" ht="54" customHeight="1" thickBot="1">
      <c r="C7" s="753" t="s">
        <v>250</v>
      </c>
      <c r="D7" s="754"/>
      <c r="E7" s="755"/>
      <c r="G7" s="756" t="s">
        <v>252</v>
      </c>
      <c r="H7" s="757"/>
      <c r="I7" s="758"/>
      <c r="K7" s="740" t="s">
        <v>214</v>
      </c>
      <c r="L7" s="741"/>
      <c r="M7" s="741"/>
      <c r="N7" s="741"/>
      <c r="O7" s="741"/>
      <c r="P7" s="741"/>
      <c r="Q7" s="741"/>
      <c r="R7" s="751" t="s">
        <v>296</v>
      </c>
      <c r="S7" s="751" t="s">
        <v>57</v>
      </c>
      <c r="V7" s="798" t="s">
        <v>130</v>
      </c>
      <c r="W7" s="799"/>
      <c r="X7" s="800"/>
      <c r="AB7" s="789" t="s">
        <v>30</v>
      </c>
      <c r="AC7" s="790"/>
      <c r="AD7" s="674" t="s">
        <v>160</v>
      </c>
      <c r="AE7" s="676"/>
      <c r="AF7" s="787" t="s">
        <v>160</v>
      </c>
      <c r="AG7" s="788"/>
      <c r="AH7" s="787" t="s">
        <v>160</v>
      </c>
      <c r="AI7" s="788"/>
      <c r="AJ7" s="704" t="s">
        <v>160</v>
      </c>
      <c r="AK7" s="706"/>
      <c r="AL7" s="784" t="s">
        <v>160</v>
      </c>
      <c r="AM7" s="785"/>
      <c r="AN7" s="786"/>
      <c r="AQ7" s="783" t="s">
        <v>36</v>
      </c>
      <c r="AR7" s="783"/>
      <c r="AS7" s="783"/>
      <c r="AT7" s="783"/>
      <c r="AU7" s="783"/>
      <c r="AV7" s="101"/>
      <c r="AW7" s="783" t="s">
        <v>37</v>
      </c>
      <c r="AX7" s="783"/>
      <c r="AY7" s="783"/>
      <c r="AZ7" s="783"/>
      <c r="BA7" s="783"/>
      <c r="BB7" s="101"/>
      <c r="BC7" s="101"/>
    </row>
    <row r="8" spans="2:55" ht="32" customHeight="1" thickBot="1">
      <c r="B8" s="36" t="s">
        <v>0</v>
      </c>
      <c r="C8" s="222" t="s">
        <v>41</v>
      </c>
      <c r="D8" s="247" t="s">
        <v>257</v>
      </c>
      <c r="E8" s="379" t="s">
        <v>251</v>
      </c>
      <c r="F8" s="67"/>
      <c r="G8" s="36" t="s">
        <v>255</v>
      </c>
      <c r="H8" s="36"/>
      <c r="I8" s="36"/>
      <c r="J8" s="67"/>
      <c r="K8" s="409" t="s">
        <v>233</v>
      </c>
      <c r="L8" s="409" t="s">
        <v>235</v>
      </c>
      <c r="M8" s="409" t="s">
        <v>237</v>
      </c>
      <c r="N8" s="403" t="s">
        <v>253</v>
      </c>
      <c r="O8" s="403" t="s">
        <v>254</v>
      </c>
      <c r="P8" s="409" t="s">
        <v>241</v>
      </c>
      <c r="Q8" s="415" t="s">
        <v>244</v>
      </c>
      <c r="R8" s="752"/>
      <c r="S8" s="752"/>
      <c r="V8" s="241" t="s">
        <v>28</v>
      </c>
      <c r="W8" s="781" t="s">
        <v>258</v>
      </c>
      <c r="X8" s="779" t="s">
        <v>249</v>
      </c>
      <c r="AB8" s="85" t="s">
        <v>28</v>
      </c>
      <c r="AC8" s="80" t="s">
        <v>29</v>
      </c>
      <c r="AD8" s="85" t="s">
        <v>28</v>
      </c>
      <c r="AE8" s="80" t="s">
        <v>29</v>
      </c>
      <c r="AF8" s="85" t="s">
        <v>28</v>
      </c>
      <c r="AG8" s="80" t="s">
        <v>29</v>
      </c>
      <c r="AH8" s="85" t="s">
        <v>28</v>
      </c>
      <c r="AI8" s="80" t="s">
        <v>29</v>
      </c>
      <c r="AJ8" s="85" t="s">
        <v>28</v>
      </c>
      <c r="AK8" s="80" t="s">
        <v>29</v>
      </c>
      <c r="AL8" s="86" t="s">
        <v>28</v>
      </c>
      <c r="AM8" s="250" t="s">
        <v>29</v>
      </c>
      <c r="AN8" s="36"/>
      <c r="AQ8" s="69" t="s">
        <v>28</v>
      </c>
      <c r="AR8" s="102" t="s">
        <v>75</v>
      </c>
      <c r="AS8" s="103" t="s">
        <v>39</v>
      </c>
      <c r="AT8" s="103" t="s">
        <v>40</v>
      </c>
      <c r="AU8" s="104" t="s">
        <v>41</v>
      </c>
      <c r="AV8" s="66"/>
      <c r="AW8" s="69" t="s">
        <v>28</v>
      </c>
      <c r="AX8" s="102" t="s">
        <v>38</v>
      </c>
      <c r="AY8" s="103" t="s">
        <v>39</v>
      </c>
      <c r="AZ8" s="103" t="s">
        <v>40</v>
      </c>
      <c r="BA8" s="104" t="s">
        <v>41</v>
      </c>
      <c r="BB8" s="101"/>
      <c r="BC8" s="105" t="s">
        <v>42</v>
      </c>
    </row>
    <row r="9" spans="2:55" ht="24" customHeight="1">
      <c r="B9" s="488"/>
      <c r="C9" s="385"/>
      <c r="D9" s="384" t="s">
        <v>12</v>
      </c>
      <c r="E9" s="385" t="s">
        <v>12</v>
      </c>
      <c r="F9" s="67"/>
      <c r="G9" s="390" t="s">
        <v>12</v>
      </c>
      <c r="H9" s="391" t="s">
        <v>12</v>
      </c>
      <c r="I9" s="392" t="s">
        <v>12</v>
      </c>
      <c r="J9" s="67"/>
      <c r="K9" s="392" t="str">
        <f>I9</f>
        <v xml:space="preserve"> </v>
      </c>
      <c r="L9" s="409">
        <f>N5</f>
        <v>17</v>
      </c>
      <c r="M9" s="409">
        <f>IF(Q5&lt;R5,Q5,R5)</f>
        <v>23</v>
      </c>
      <c r="N9" s="403">
        <f>IF(P5&lt;R5,P5,R5)</f>
        <v>2</v>
      </c>
      <c r="O9" s="403">
        <f>IF(N9&lt;Q5,N9,Q5)</f>
        <v>2</v>
      </c>
      <c r="P9" s="409">
        <f>O9</f>
        <v>2</v>
      </c>
      <c r="Q9" s="409">
        <f>IF(L9-M9&gt;0,L9-M9,0)</f>
        <v>0</v>
      </c>
      <c r="R9" s="468"/>
      <c r="S9" s="469"/>
      <c r="V9" s="241"/>
      <c r="W9" s="782"/>
      <c r="X9" s="780"/>
      <c r="AB9" s="85"/>
      <c r="AC9" s="80"/>
      <c r="AD9" s="85"/>
      <c r="AE9" s="80"/>
      <c r="AF9" s="85"/>
      <c r="AG9" s="80"/>
      <c r="AH9" s="85"/>
      <c r="AI9" s="80"/>
      <c r="AJ9" s="85"/>
      <c r="AK9" s="80"/>
      <c r="AL9" s="86"/>
      <c r="AM9" s="251"/>
      <c r="AN9" s="36"/>
      <c r="AQ9" s="170"/>
      <c r="AR9" s="171"/>
      <c r="AS9" s="172"/>
      <c r="AT9" s="172"/>
      <c r="AU9" s="173"/>
      <c r="AV9" s="66"/>
      <c r="AW9" s="170"/>
      <c r="AX9" s="171"/>
      <c r="AY9" s="172"/>
      <c r="AZ9" s="172"/>
      <c r="BA9" s="173"/>
      <c r="BB9" s="101"/>
      <c r="BC9" s="174"/>
    </row>
    <row r="10" spans="2:55" ht="20" customHeight="1">
      <c r="B10" s="467">
        <f>V10</f>
        <v>1989</v>
      </c>
      <c r="C10" s="387">
        <f>W10</f>
        <v>7.0000000000000007E-2</v>
      </c>
      <c r="D10" s="393">
        <v>0.05</v>
      </c>
      <c r="E10" s="394">
        <f t="shared" ref="E10:E73" si="0">IF(C10&lt;D10,C10,D10)</f>
        <v>0.05</v>
      </c>
      <c r="F10" s="101"/>
      <c r="G10" s="395">
        <f t="shared" ref="G10:G73" si="1">(C10/3)*2</f>
        <v>4.6666666666666669E-2</v>
      </c>
      <c r="H10" s="396">
        <f t="shared" ref="H10:H73" si="2">D10/3*2</f>
        <v>3.3333333333333333E-2</v>
      </c>
      <c r="I10" s="397">
        <f t="shared" ref="I10:I73" si="3">IF(G10&lt;H10,G10,H10)</f>
        <v>3.3333333333333333E-2</v>
      </c>
      <c r="J10" s="101"/>
      <c r="K10" s="402">
        <f t="shared" ref="K10:K73" si="4">I10</f>
        <v>3.3333333333333333E-2</v>
      </c>
      <c r="L10" s="379">
        <f t="shared" ref="L10:Q10" si="5">L9</f>
        <v>17</v>
      </c>
      <c r="M10" s="379">
        <f t="shared" si="5"/>
        <v>23</v>
      </c>
      <c r="N10" s="379">
        <f t="shared" si="5"/>
        <v>2</v>
      </c>
      <c r="O10" s="379">
        <f t="shared" si="5"/>
        <v>2</v>
      </c>
      <c r="P10" s="379">
        <f t="shared" si="5"/>
        <v>2</v>
      </c>
      <c r="Q10" s="404">
        <f t="shared" si="5"/>
        <v>0</v>
      </c>
      <c r="R10" s="468">
        <f t="shared" ref="R10:R17" si="6">C10</f>
        <v>7.0000000000000007E-2</v>
      </c>
      <c r="S10" s="470"/>
      <c r="V10" s="240">
        <v>1989</v>
      </c>
      <c r="W10" s="242">
        <v>7.0000000000000007E-2</v>
      </c>
      <c r="X10" s="244">
        <f>R10</f>
        <v>7.0000000000000007E-2</v>
      </c>
      <c r="AB10" s="81">
        <v>1989</v>
      </c>
      <c r="AC10" s="88">
        <f t="shared" ref="AC10:AC73" si="7">X10</f>
        <v>7.0000000000000007E-2</v>
      </c>
      <c r="AD10" s="81">
        <v>1989</v>
      </c>
      <c r="AE10" s="82">
        <f>W10</f>
        <v>7.0000000000000007E-2</v>
      </c>
      <c r="AF10" s="81">
        <v>1989</v>
      </c>
      <c r="AG10" s="82">
        <f>W10</f>
        <v>7.0000000000000007E-2</v>
      </c>
      <c r="AH10" s="81">
        <v>1989</v>
      </c>
      <c r="AI10" s="82">
        <f>W10</f>
        <v>7.0000000000000007E-2</v>
      </c>
      <c r="AJ10" s="81">
        <v>1989</v>
      </c>
      <c r="AK10" s="82">
        <f>W10</f>
        <v>7.0000000000000007E-2</v>
      </c>
      <c r="AL10" s="184">
        <f>W10</f>
        <v>7.0000000000000007E-2</v>
      </c>
      <c r="AM10" s="82">
        <f>AK10</f>
        <v>7.0000000000000007E-2</v>
      </c>
      <c r="AN10" s="252" t="s">
        <v>34</v>
      </c>
      <c r="AQ10" s="70">
        <v>1989</v>
      </c>
      <c r="AR10" s="155">
        <v>7.0000000000000007E-2</v>
      </c>
      <c r="AS10" s="106"/>
      <c r="AT10" s="106"/>
      <c r="AU10" s="107">
        <v>7.8E-2</v>
      </c>
      <c r="AV10" s="101"/>
      <c r="AW10" s="70">
        <v>1989</v>
      </c>
      <c r="AX10" s="108">
        <f>(1+AR10)*$AW$42</f>
        <v>107</v>
      </c>
      <c r="AY10" s="106"/>
      <c r="AZ10" s="106"/>
      <c r="BA10" s="109">
        <f>AW42*(1+AU10)</f>
        <v>107.80000000000001</v>
      </c>
      <c r="BB10" s="101"/>
      <c r="BC10" s="110">
        <f t="shared" ref="BC10:BC18" si="8">AX10/BA10</f>
        <v>0.99257884972170674</v>
      </c>
    </row>
    <row r="11" spans="2:55" ht="18" customHeight="1">
      <c r="B11" s="466">
        <f t="shared" ref="B11:B74" si="9">V11</f>
        <v>1990</v>
      </c>
      <c r="C11" s="386">
        <f t="shared" ref="C11:C74" si="10">W11</f>
        <v>5.8000000000000003E-2</v>
      </c>
      <c r="D11" s="398">
        <v>0.05</v>
      </c>
      <c r="E11" s="399">
        <f t="shared" si="0"/>
        <v>0.05</v>
      </c>
      <c r="F11" s="101"/>
      <c r="G11" s="400">
        <f t="shared" si="1"/>
        <v>3.8666666666666669E-2</v>
      </c>
      <c r="H11" s="401">
        <f t="shared" si="2"/>
        <v>3.3333333333333333E-2</v>
      </c>
      <c r="I11" s="402">
        <f t="shared" si="3"/>
        <v>3.3333333333333333E-2</v>
      </c>
      <c r="J11" s="101"/>
      <c r="K11" s="402">
        <f t="shared" si="4"/>
        <v>3.3333333333333333E-2</v>
      </c>
      <c r="L11" s="379">
        <f t="shared" ref="L11:L74" si="11">L10</f>
        <v>17</v>
      </c>
      <c r="M11" s="379">
        <f t="shared" ref="M11:M74" si="12">M10</f>
        <v>23</v>
      </c>
      <c r="N11" s="379">
        <f t="shared" ref="N11:N74" si="13">N10</f>
        <v>2</v>
      </c>
      <c r="O11" s="379">
        <f t="shared" ref="O11:O74" si="14">O10</f>
        <v>2</v>
      </c>
      <c r="P11" s="379">
        <f t="shared" ref="P11:P74" si="15">P10</f>
        <v>2</v>
      </c>
      <c r="Q11" s="404">
        <f t="shared" ref="Q11:Q74" si="16">Q10</f>
        <v>0</v>
      </c>
      <c r="R11" s="468">
        <f t="shared" si="6"/>
        <v>5.8000000000000003E-2</v>
      </c>
      <c r="S11" s="470"/>
      <c r="V11" s="240">
        <v>1990</v>
      </c>
      <c r="W11" s="243">
        <v>5.8000000000000003E-2</v>
      </c>
      <c r="X11" s="244">
        <f t="shared" ref="X11:X74" si="17">R11</f>
        <v>5.8000000000000003E-2</v>
      </c>
      <c r="AB11" s="81">
        <v>1990</v>
      </c>
      <c r="AC11" s="88">
        <f t="shared" si="7"/>
        <v>5.8000000000000003E-2</v>
      </c>
      <c r="AD11" s="81">
        <v>1990</v>
      </c>
      <c r="AE11" s="82">
        <f t="shared" ref="AE11:AE39" si="18">AC11</f>
        <v>5.8000000000000003E-2</v>
      </c>
      <c r="AF11" s="81">
        <v>1990</v>
      </c>
      <c r="AG11" s="82">
        <f t="shared" ref="AG11:AG39" si="19">AE11</f>
        <v>5.8000000000000003E-2</v>
      </c>
      <c r="AH11" s="81">
        <v>1990</v>
      </c>
      <c r="AI11" s="82">
        <f t="shared" ref="AI11:AM39" si="20">AG11</f>
        <v>5.8000000000000003E-2</v>
      </c>
      <c r="AJ11" s="81">
        <v>1990</v>
      </c>
      <c r="AK11" s="82">
        <f t="shared" si="20"/>
        <v>5.8000000000000003E-2</v>
      </c>
      <c r="AL11" s="87">
        <v>1990</v>
      </c>
      <c r="AM11" s="82">
        <f t="shared" si="20"/>
        <v>5.8000000000000003E-2</v>
      </c>
      <c r="AN11" s="252" t="s">
        <v>34</v>
      </c>
      <c r="AQ11" s="71">
        <v>1990</v>
      </c>
      <c r="AR11" s="156">
        <v>5.8000000000000003E-2</v>
      </c>
      <c r="AS11" s="111"/>
      <c r="AT11" s="111"/>
      <c r="AU11" s="112">
        <v>9.5000000000000001E-2</v>
      </c>
      <c r="AV11" s="101"/>
      <c r="AW11" s="71">
        <v>1990</v>
      </c>
      <c r="AX11" s="113">
        <f t="shared" ref="AX11:AX18" si="21">AX10*(1+AR11)</f>
        <v>113.206</v>
      </c>
      <c r="AY11" s="111"/>
      <c r="AZ11" s="111"/>
      <c r="BA11" s="114">
        <f t="shared" ref="BA11:BA35" si="22">BA10*(1+AU11)</f>
        <v>118.04100000000001</v>
      </c>
      <c r="BB11" s="101"/>
      <c r="BC11" s="115">
        <f t="shared" si="8"/>
        <v>0.95903965571284544</v>
      </c>
    </row>
    <row r="12" spans="2:55" ht="20" customHeight="1">
      <c r="B12" s="466">
        <f t="shared" si="9"/>
        <v>1991</v>
      </c>
      <c r="C12" s="386">
        <f t="shared" si="10"/>
        <v>0.1</v>
      </c>
      <c r="D12" s="398">
        <v>0.05</v>
      </c>
      <c r="E12" s="399">
        <f t="shared" si="0"/>
        <v>0.05</v>
      </c>
      <c r="F12" s="101"/>
      <c r="G12" s="400">
        <f t="shared" si="1"/>
        <v>6.6666666666666666E-2</v>
      </c>
      <c r="H12" s="401">
        <f t="shared" si="2"/>
        <v>3.3333333333333333E-2</v>
      </c>
      <c r="I12" s="402">
        <f t="shared" si="3"/>
        <v>3.3333333333333333E-2</v>
      </c>
      <c r="J12" s="101"/>
      <c r="K12" s="402">
        <f t="shared" si="4"/>
        <v>3.3333333333333333E-2</v>
      </c>
      <c r="L12" s="379">
        <f t="shared" si="11"/>
        <v>17</v>
      </c>
      <c r="M12" s="379">
        <f t="shared" si="12"/>
        <v>23</v>
      </c>
      <c r="N12" s="379">
        <f t="shared" si="13"/>
        <v>2</v>
      </c>
      <c r="O12" s="379">
        <f t="shared" si="14"/>
        <v>2</v>
      </c>
      <c r="P12" s="379">
        <f t="shared" si="15"/>
        <v>2</v>
      </c>
      <c r="Q12" s="404">
        <f t="shared" si="16"/>
        <v>0</v>
      </c>
      <c r="R12" s="468">
        <f t="shared" si="6"/>
        <v>0.1</v>
      </c>
      <c r="S12" s="470"/>
      <c r="V12" s="240">
        <v>1991</v>
      </c>
      <c r="W12" s="243">
        <v>0.1</v>
      </c>
      <c r="X12" s="244">
        <f t="shared" si="17"/>
        <v>0.1</v>
      </c>
      <c r="AB12" s="81">
        <v>1991</v>
      </c>
      <c r="AC12" s="88">
        <f t="shared" si="7"/>
        <v>0.1</v>
      </c>
      <c r="AD12" s="81">
        <v>1991</v>
      </c>
      <c r="AE12" s="82">
        <f t="shared" si="18"/>
        <v>0.1</v>
      </c>
      <c r="AF12" s="81">
        <v>1991</v>
      </c>
      <c r="AG12" s="82">
        <f t="shared" si="19"/>
        <v>0.1</v>
      </c>
      <c r="AH12" s="81">
        <v>1991</v>
      </c>
      <c r="AI12" s="82">
        <f t="shared" si="20"/>
        <v>0.1</v>
      </c>
      <c r="AJ12" s="81">
        <v>1991</v>
      </c>
      <c r="AK12" s="82">
        <f t="shared" si="20"/>
        <v>0.1</v>
      </c>
      <c r="AL12" s="87">
        <v>1991</v>
      </c>
      <c r="AM12" s="82">
        <f t="shared" si="20"/>
        <v>0.1</v>
      </c>
      <c r="AN12" s="252" t="s">
        <v>34</v>
      </c>
      <c r="AQ12" s="71">
        <v>1991</v>
      </c>
      <c r="AR12" s="157">
        <v>0.1</v>
      </c>
      <c r="AS12" s="111"/>
      <c r="AT12" s="111"/>
      <c r="AU12" s="112">
        <v>5.8999999999999997E-2</v>
      </c>
      <c r="AV12" s="101"/>
      <c r="AW12" s="71">
        <v>1991</v>
      </c>
      <c r="AX12" s="113">
        <f t="shared" si="21"/>
        <v>124.52660000000002</v>
      </c>
      <c r="AY12" s="111"/>
      <c r="AZ12" s="111"/>
      <c r="BA12" s="114">
        <f t="shared" si="22"/>
        <v>125.005419</v>
      </c>
      <c r="BB12" s="101"/>
      <c r="BC12" s="115">
        <f t="shared" si="8"/>
        <v>0.99616961405489157</v>
      </c>
    </row>
    <row r="13" spans="2:55" ht="21">
      <c r="B13" s="466">
        <f t="shared" si="9"/>
        <v>1992</v>
      </c>
      <c r="C13" s="386">
        <f t="shared" si="10"/>
        <v>4.1000000000000002E-2</v>
      </c>
      <c r="D13" s="398">
        <v>0.05</v>
      </c>
      <c r="E13" s="399">
        <f t="shared" si="0"/>
        <v>4.1000000000000002E-2</v>
      </c>
      <c r="F13" s="101"/>
      <c r="G13" s="400">
        <f t="shared" si="1"/>
        <v>2.7333333333333334E-2</v>
      </c>
      <c r="H13" s="401">
        <f t="shared" si="2"/>
        <v>3.3333333333333333E-2</v>
      </c>
      <c r="I13" s="402">
        <f t="shared" si="3"/>
        <v>2.7333333333333334E-2</v>
      </c>
      <c r="J13" s="101"/>
      <c r="K13" s="402">
        <f t="shared" si="4"/>
        <v>2.7333333333333334E-2</v>
      </c>
      <c r="L13" s="379">
        <f t="shared" si="11"/>
        <v>17</v>
      </c>
      <c r="M13" s="379">
        <f t="shared" si="12"/>
        <v>23</v>
      </c>
      <c r="N13" s="379">
        <f t="shared" si="13"/>
        <v>2</v>
      </c>
      <c r="O13" s="379">
        <f t="shared" si="14"/>
        <v>2</v>
      </c>
      <c r="P13" s="379">
        <f t="shared" si="15"/>
        <v>2</v>
      </c>
      <c r="Q13" s="404">
        <f t="shared" si="16"/>
        <v>0</v>
      </c>
      <c r="R13" s="468">
        <f t="shared" si="6"/>
        <v>4.1000000000000002E-2</v>
      </c>
      <c r="S13" s="470"/>
      <c r="V13" s="240">
        <v>1992</v>
      </c>
      <c r="W13" s="243">
        <v>4.1000000000000002E-2</v>
      </c>
      <c r="X13" s="244">
        <f t="shared" si="17"/>
        <v>4.1000000000000002E-2</v>
      </c>
      <c r="AB13" s="81">
        <v>1992</v>
      </c>
      <c r="AC13" s="88">
        <f t="shared" si="7"/>
        <v>4.1000000000000002E-2</v>
      </c>
      <c r="AD13" s="81">
        <v>1992</v>
      </c>
      <c r="AE13" s="82">
        <f t="shared" si="18"/>
        <v>4.1000000000000002E-2</v>
      </c>
      <c r="AF13" s="81">
        <v>1992</v>
      </c>
      <c r="AG13" s="82">
        <f t="shared" si="19"/>
        <v>4.1000000000000002E-2</v>
      </c>
      <c r="AH13" s="81">
        <v>1992</v>
      </c>
      <c r="AI13" s="82">
        <f t="shared" si="20"/>
        <v>4.1000000000000002E-2</v>
      </c>
      <c r="AJ13" s="81">
        <v>1992</v>
      </c>
      <c r="AK13" s="82">
        <f t="shared" si="20"/>
        <v>4.1000000000000002E-2</v>
      </c>
      <c r="AL13" s="87">
        <v>1992</v>
      </c>
      <c r="AM13" s="82">
        <f t="shared" si="20"/>
        <v>4.1000000000000002E-2</v>
      </c>
      <c r="AN13" s="252" t="s">
        <v>34</v>
      </c>
      <c r="AQ13" s="71">
        <v>1992</v>
      </c>
      <c r="AR13" s="157">
        <v>4.1000000000000002E-2</v>
      </c>
      <c r="AS13" s="111"/>
      <c r="AT13" s="111"/>
      <c r="AU13" s="112">
        <v>3.6999999999999998E-2</v>
      </c>
      <c r="AV13" s="101"/>
      <c r="AW13" s="71">
        <v>1992</v>
      </c>
      <c r="AX13" s="113">
        <f t="shared" si="21"/>
        <v>129.6321906</v>
      </c>
      <c r="AY13" s="111"/>
      <c r="AZ13" s="111"/>
      <c r="BA13" s="114">
        <f t="shared" si="22"/>
        <v>129.63061950299999</v>
      </c>
      <c r="BB13" s="101"/>
      <c r="BC13" s="115">
        <f t="shared" si="8"/>
        <v>1.0000121197985941</v>
      </c>
    </row>
    <row r="14" spans="2:55" ht="21">
      <c r="B14" s="466">
        <f t="shared" si="9"/>
        <v>1993</v>
      </c>
      <c r="C14" s="386">
        <f t="shared" si="10"/>
        <v>1.7000000000000001E-2</v>
      </c>
      <c r="D14" s="398">
        <v>0.05</v>
      </c>
      <c r="E14" s="399">
        <f t="shared" si="0"/>
        <v>1.7000000000000001E-2</v>
      </c>
      <c r="F14" s="101"/>
      <c r="G14" s="400">
        <f t="shared" si="1"/>
        <v>1.1333333333333334E-2</v>
      </c>
      <c r="H14" s="401">
        <f t="shared" si="2"/>
        <v>3.3333333333333333E-2</v>
      </c>
      <c r="I14" s="402">
        <f t="shared" si="3"/>
        <v>1.1333333333333334E-2</v>
      </c>
      <c r="J14" s="101"/>
      <c r="K14" s="402">
        <f t="shared" si="4"/>
        <v>1.1333333333333334E-2</v>
      </c>
      <c r="L14" s="379">
        <f t="shared" si="11"/>
        <v>17</v>
      </c>
      <c r="M14" s="379">
        <f t="shared" si="12"/>
        <v>23</v>
      </c>
      <c r="N14" s="379">
        <f t="shared" si="13"/>
        <v>2</v>
      </c>
      <c r="O14" s="379">
        <f t="shared" si="14"/>
        <v>2</v>
      </c>
      <c r="P14" s="379">
        <f t="shared" si="15"/>
        <v>2</v>
      </c>
      <c r="Q14" s="404">
        <f t="shared" si="16"/>
        <v>0</v>
      </c>
      <c r="R14" s="468">
        <f t="shared" si="6"/>
        <v>1.7000000000000001E-2</v>
      </c>
      <c r="S14" s="470"/>
      <c r="V14" s="240">
        <v>1993</v>
      </c>
      <c r="W14" s="243">
        <v>1.7000000000000001E-2</v>
      </c>
      <c r="X14" s="244">
        <f t="shared" si="17"/>
        <v>1.7000000000000001E-2</v>
      </c>
      <c r="AB14" s="81">
        <v>1993</v>
      </c>
      <c r="AC14" s="88">
        <f t="shared" si="7"/>
        <v>1.7000000000000001E-2</v>
      </c>
      <c r="AD14" s="81">
        <v>1993</v>
      </c>
      <c r="AE14" s="82">
        <f t="shared" si="18"/>
        <v>1.7000000000000001E-2</v>
      </c>
      <c r="AF14" s="81">
        <v>1993</v>
      </c>
      <c r="AG14" s="82">
        <f t="shared" si="19"/>
        <v>1.7000000000000001E-2</v>
      </c>
      <c r="AH14" s="81">
        <v>1993</v>
      </c>
      <c r="AI14" s="82">
        <f t="shared" si="20"/>
        <v>1.7000000000000001E-2</v>
      </c>
      <c r="AJ14" s="81">
        <v>1993</v>
      </c>
      <c r="AK14" s="82">
        <f t="shared" si="20"/>
        <v>1.7000000000000001E-2</v>
      </c>
      <c r="AL14" s="87">
        <v>1993</v>
      </c>
      <c r="AM14" s="82">
        <f t="shared" si="20"/>
        <v>1.7000000000000001E-2</v>
      </c>
      <c r="AN14" s="252" t="s">
        <v>34</v>
      </c>
      <c r="AQ14" s="71">
        <v>1993</v>
      </c>
      <c r="AR14" s="157">
        <v>1.7000000000000001E-2</v>
      </c>
      <c r="AS14" s="111"/>
      <c r="AT14" s="111"/>
      <c r="AU14" s="112">
        <v>1.6E-2</v>
      </c>
      <c r="AV14" s="101"/>
      <c r="AW14" s="71">
        <v>1993</v>
      </c>
      <c r="AX14" s="113">
        <f t="shared" si="21"/>
        <v>131.83593784019999</v>
      </c>
      <c r="AY14" s="111"/>
      <c r="AZ14" s="111"/>
      <c r="BA14" s="114">
        <f t="shared" si="22"/>
        <v>131.704709415048</v>
      </c>
      <c r="BB14" s="101"/>
      <c r="BC14" s="115">
        <f t="shared" si="8"/>
        <v>1.0009963836960336</v>
      </c>
    </row>
    <row r="15" spans="2:55" ht="21">
      <c r="B15" s="466">
        <f t="shared" si="9"/>
        <v>1994</v>
      </c>
      <c r="C15" s="386">
        <f t="shared" si="10"/>
        <v>1.2500000000000001E-2</v>
      </c>
      <c r="D15" s="398">
        <v>0.05</v>
      </c>
      <c r="E15" s="399">
        <f t="shared" si="0"/>
        <v>1.2500000000000001E-2</v>
      </c>
      <c r="F15" s="101"/>
      <c r="G15" s="400">
        <f t="shared" si="1"/>
        <v>8.3333333333333332E-3</v>
      </c>
      <c r="H15" s="401">
        <f t="shared" si="2"/>
        <v>3.3333333333333333E-2</v>
      </c>
      <c r="I15" s="402">
        <f t="shared" si="3"/>
        <v>8.3333333333333332E-3</v>
      </c>
      <c r="J15" s="101"/>
      <c r="K15" s="402">
        <f t="shared" si="4"/>
        <v>8.3333333333333332E-3</v>
      </c>
      <c r="L15" s="379">
        <f t="shared" si="11"/>
        <v>17</v>
      </c>
      <c r="M15" s="379">
        <f t="shared" si="12"/>
        <v>23</v>
      </c>
      <c r="N15" s="379">
        <f t="shared" si="13"/>
        <v>2</v>
      </c>
      <c r="O15" s="379">
        <f t="shared" si="14"/>
        <v>2</v>
      </c>
      <c r="P15" s="379">
        <f t="shared" si="15"/>
        <v>2</v>
      </c>
      <c r="Q15" s="404">
        <f t="shared" si="16"/>
        <v>0</v>
      </c>
      <c r="R15" s="468">
        <f t="shared" si="6"/>
        <v>1.2500000000000001E-2</v>
      </c>
      <c r="S15" s="470"/>
      <c r="V15" s="240">
        <v>1994</v>
      </c>
      <c r="W15" s="243">
        <v>1.2500000000000001E-2</v>
      </c>
      <c r="X15" s="244">
        <f t="shared" si="17"/>
        <v>1.2500000000000001E-2</v>
      </c>
      <c r="AB15" s="81">
        <v>1994</v>
      </c>
      <c r="AC15" s="88">
        <f t="shared" si="7"/>
        <v>1.2500000000000001E-2</v>
      </c>
      <c r="AD15" s="81">
        <v>1994</v>
      </c>
      <c r="AE15" s="82">
        <f t="shared" si="18"/>
        <v>1.2500000000000001E-2</v>
      </c>
      <c r="AF15" s="81">
        <v>1994</v>
      </c>
      <c r="AG15" s="82">
        <f t="shared" si="19"/>
        <v>1.2500000000000001E-2</v>
      </c>
      <c r="AH15" s="81">
        <v>1994</v>
      </c>
      <c r="AI15" s="82">
        <f t="shared" si="20"/>
        <v>1.2500000000000001E-2</v>
      </c>
      <c r="AJ15" s="81">
        <v>1994</v>
      </c>
      <c r="AK15" s="82">
        <f t="shared" si="20"/>
        <v>1.2500000000000001E-2</v>
      </c>
      <c r="AL15" s="87">
        <v>1994</v>
      </c>
      <c r="AM15" s="88">
        <f t="shared" si="20"/>
        <v>1.2500000000000001E-2</v>
      </c>
      <c r="AN15" s="252" t="s">
        <v>34</v>
      </c>
      <c r="AQ15" s="71">
        <v>1994</v>
      </c>
      <c r="AR15" s="157">
        <v>1.2500000000000001E-2</v>
      </c>
      <c r="AS15" s="111"/>
      <c r="AT15" s="111"/>
      <c r="AU15" s="112">
        <v>2.4E-2</v>
      </c>
      <c r="AV15" s="101"/>
      <c r="AW15" s="71">
        <v>1994</v>
      </c>
      <c r="AX15" s="113">
        <f t="shared" si="21"/>
        <v>133.48388706320247</v>
      </c>
      <c r="AY15" s="111"/>
      <c r="AZ15" s="111"/>
      <c r="BA15" s="114">
        <f t="shared" si="22"/>
        <v>134.86562244100915</v>
      </c>
      <c r="BB15" s="101"/>
      <c r="BC15" s="115">
        <f t="shared" si="8"/>
        <v>0.98975472509007212</v>
      </c>
    </row>
    <row r="16" spans="2:55" ht="21">
      <c r="B16" s="466">
        <f t="shared" si="9"/>
        <v>1995</v>
      </c>
      <c r="C16" s="386">
        <f t="shared" si="10"/>
        <v>0</v>
      </c>
      <c r="D16" s="398">
        <v>0.05</v>
      </c>
      <c r="E16" s="399">
        <f t="shared" si="0"/>
        <v>0</v>
      </c>
      <c r="F16" s="101"/>
      <c r="G16" s="400">
        <f t="shared" si="1"/>
        <v>0</v>
      </c>
      <c r="H16" s="401">
        <f t="shared" si="2"/>
        <v>3.3333333333333333E-2</v>
      </c>
      <c r="I16" s="402">
        <f t="shared" si="3"/>
        <v>0</v>
      </c>
      <c r="J16" s="101"/>
      <c r="K16" s="402">
        <f t="shared" si="4"/>
        <v>0</v>
      </c>
      <c r="L16" s="379">
        <f t="shared" si="11"/>
        <v>17</v>
      </c>
      <c r="M16" s="379">
        <f t="shared" si="12"/>
        <v>23</v>
      </c>
      <c r="N16" s="379">
        <f t="shared" si="13"/>
        <v>2</v>
      </c>
      <c r="O16" s="379">
        <f t="shared" si="14"/>
        <v>2</v>
      </c>
      <c r="P16" s="379">
        <f t="shared" si="15"/>
        <v>2</v>
      </c>
      <c r="Q16" s="404">
        <f t="shared" si="16"/>
        <v>0</v>
      </c>
      <c r="R16" s="468">
        <f t="shared" si="6"/>
        <v>0</v>
      </c>
      <c r="S16" s="470"/>
      <c r="V16" s="240">
        <v>1995</v>
      </c>
      <c r="W16" s="243">
        <v>0</v>
      </c>
      <c r="X16" s="244">
        <f t="shared" si="17"/>
        <v>0</v>
      </c>
      <c r="AB16" s="81">
        <v>1995</v>
      </c>
      <c r="AC16" s="88">
        <f t="shared" si="7"/>
        <v>0</v>
      </c>
      <c r="AD16" s="81">
        <v>1995</v>
      </c>
      <c r="AE16" s="82">
        <f t="shared" si="18"/>
        <v>0</v>
      </c>
      <c r="AF16" s="81">
        <v>1995</v>
      </c>
      <c r="AG16" s="82">
        <f t="shared" si="19"/>
        <v>0</v>
      </c>
      <c r="AH16" s="81">
        <v>1995</v>
      </c>
      <c r="AI16" s="82">
        <f t="shared" si="20"/>
        <v>0</v>
      </c>
      <c r="AJ16" s="81">
        <v>1995</v>
      </c>
      <c r="AK16" s="82">
        <f t="shared" si="20"/>
        <v>0</v>
      </c>
      <c r="AL16" s="87">
        <v>1995</v>
      </c>
      <c r="AM16" s="82">
        <f t="shared" si="20"/>
        <v>0</v>
      </c>
      <c r="AN16" s="252" t="s">
        <v>34</v>
      </c>
      <c r="AQ16" s="71">
        <v>1995</v>
      </c>
      <c r="AR16" s="157">
        <v>0</v>
      </c>
      <c r="AS16" s="75"/>
      <c r="AT16" s="111"/>
      <c r="AU16" s="112">
        <v>3.5000000000000003E-2</v>
      </c>
      <c r="AV16" s="101"/>
      <c r="AW16" s="71">
        <v>1995</v>
      </c>
      <c r="AX16" s="113">
        <f t="shared" si="21"/>
        <v>133.48388706320247</v>
      </c>
      <c r="AY16" s="75"/>
      <c r="AZ16" s="111"/>
      <c r="BA16" s="114">
        <f t="shared" si="22"/>
        <v>139.58591922644447</v>
      </c>
      <c r="BB16" s="101"/>
      <c r="BC16" s="115">
        <f t="shared" si="8"/>
        <v>0.95628475854113248</v>
      </c>
    </row>
    <row r="17" spans="2:55" ht="21">
      <c r="B17" s="466">
        <f t="shared" si="9"/>
        <v>1996</v>
      </c>
      <c r="C17" s="386">
        <f t="shared" si="10"/>
        <v>0.03</v>
      </c>
      <c r="D17" s="398">
        <v>0.05</v>
      </c>
      <c r="E17" s="399">
        <f t="shared" si="0"/>
        <v>0.03</v>
      </c>
      <c r="F17" s="101"/>
      <c r="G17" s="400">
        <f t="shared" si="1"/>
        <v>0.02</v>
      </c>
      <c r="H17" s="401">
        <f t="shared" si="2"/>
        <v>3.3333333333333333E-2</v>
      </c>
      <c r="I17" s="402">
        <f t="shared" si="3"/>
        <v>0.02</v>
      </c>
      <c r="J17" s="101"/>
      <c r="K17" s="402">
        <f t="shared" si="4"/>
        <v>0.02</v>
      </c>
      <c r="L17" s="379">
        <f t="shared" si="11"/>
        <v>17</v>
      </c>
      <c r="M17" s="379">
        <f t="shared" si="12"/>
        <v>23</v>
      </c>
      <c r="N17" s="379">
        <f t="shared" si="13"/>
        <v>2</v>
      </c>
      <c r="O17" s="379">
        <f t="shared" si="14"/>
        <v>2</v>
      </c>
      <c r="P17" s="379">
        <f t="shared" si="15"/>
        <v>2</v>
      </c>
      <c r="Q17" s="404">
        <f t="shared" si="16"/>
        <v>0</v>
      </c>
      <c r="R17" s="468">
        <f t="shared" si="6"/>
        <v>0.03</v>
      </c>
      <c r="S17" s="470"/>
      <c r="V17" s="240">
        <v>1996</v>
      </c>
      <c r="W17" s="243">
        <v>0.03</v>
      </c>
      <c r="X17" s="244">
        <f t="shared" si="17"/>
        <v>0.03</v>
      </c>
      <c r="AB17" s="81">
        <v>1996</v>
      </c>
      <c r="AC17" s="88">
        <f t="shared" si="7"/>
        <v>0.03</v>
      </c>
      <c r="AD17" s="81">
        <v>1996</v>
      </c>
      <c r="AE17" s="82">
        <f t="shared" si="18"/>
        <v>0.03</v>
      </c>
      <c r="AF17" s="81">
        <v>1996</v>
      </c>
      <c r="AG17" s="82">
        <f t="shared" si="19"/>
        <v>0.03</v>
      </c>
      <c r="AH17" s="81">
        <v>1996</v>
      </c>
      <c r="AI17" s="82">
        <f t="shared" si="20"/>
        <v>0.03</v>
      </c>
      <c r="AJ17" s="81">
        <v>1996</v>
      </c>
      <c r="AK17" s="82">
        <f t="shared" si="20"/>
        <v>0.03</v>
      </c>
      <c r="AL17" s="87">
        <v>1996</v>
      </c>
      <c r="AM17" s="82">
        <f t="shared" si="20"/>
        <v>0.03</v>
      </c>
      <c r="AN17" s="252" t="s">
        <v>34</v>
      </c>
      <c r="AQ17" s="71">
        <v>1996</v>
      </c>
      <c r="AR17" s="157">
        <v>0.03</v>
      </c>
      <c r="AS17" s="111"/>
      <c r="AT17" s="111"/>
      <c r="AU17" s="112">
        <v>2.4E-2</v>
      </c>
      <c r="AV17" s="101"/>
      <c r="AW17" s="71">
        <v>1996</v>
      </c>
      <c r="AX17" s="113">
        <f t="shared" si="21"/>
        <v>137.48840367509854</v>
      </c>
      <c r="AY17" s="111"/>
      <c r="AZ17" s="111"/>
      <c r="BA17" s="114">
        <f t="shared" si="22"/>
        <v>142.93598128787914</v>
      </c>
      <c r="BB17" s="101"/>
      <c r="BC17" s="115">
        <f t="shared" si="8"/>
        <v>0.96188798954820931</v>
      </c>
    </row>
    <row r="18" spans="2:55" ht="21">
      <c r="B18" s="466">
        <f t="shared" si="9"/>
        <v>1997</v>
      </c>
      <c r="C18" s="386">
        <f t="shared" si="10"/>
        <v>2.8000000000000001E-2</v>
      </c>
      <c r="D18" s="398">
        <v>0.05</v>
      </c>
      <c r="E18" s="399">
        <f t="shared" si="0"/>
        <v>2.8000000000000001E-2</v>
      </c>
      <c r="F18" s="101"/>
      <c r="G18" s="400">
        <f t="shared" si="1"/>
        <v>1.8666666666666668E-2</v>
      </c>
      <c r="H18" s="401">
        <f t="shared" si="2"/>
        <v>3.3333333333333333E-2</v>
      </c>
      <c r="I18" s="402">
        <f t="shared" si="3"/>
        <v>1.8666666666666668E-2</v>
      </c>
      <c r="J18" s="101"/>
      <c r="K18" s="402">
        <f t="shared" si="4"/>
        <v>1.8666666666666668E-2</v>
      </c>
      <c r="L18" s="379">
        <f t="shared" si="11"/>
        <v>17</v>
      </c>
      <c r="M18" s="379">
        <f t="shared" si="12"/>
        <v>23</v>
      </c>
      <c r="N18" s="379">
        <f t="shared" si="13"/>
        <v>2</v>
      </c>
      <c r="O18" s="379">
        <f t="shared" si="14"/>
        <v>2</v>
      </c>
      <c r="P18" s="379">
        <f t="shared" si="15"/>
        <v>2</v>
      </c>
      <c r="Q18" s="404">
        <f t="shared" si="16"/>
        <v>0</v>
      </c>
      <c r="R18" s="416">
        <f t="shared" ref="R18:R73" si="23">IF($F$5&lt;1998,I18,((Q18+((L18-Q18)*(P18/M18)))/L18)*K18)</f>
        <v>1.6231884057971015E-3</v>
      </c>
      <c r="S18" s="407">
        <f t="shared" ref="S18:S73" si="24">E18</f>
        <v>2.8000000000000001E-2</v>
      </c>
      <c r="V18" s="240">
        <v>1997</v>
      </c>
      <c r="W18" s="405">
        <v>2.8000000000000001E-2</v>
      </c>
      <c r="X18" s="244">
        <f t="shared" si="17"/>
        <v>1.6231884057971015E-3</v>
      </c>
      <c r="AB18" s="81">
        <v>1997</v>
      </c>
      <c r="AC18" s="88">
        <f t="shared" si="7"/>
        <v>1.6231884057971015E-3</v>
      </c>
      <c r="AD18" s="81">
        <v>1997</v>
      </c>
      <c r="AE18" s="82">
        <f t="shared" si="18"/>
        <v>1.6231884057971015E-3</v>
      </c>
      <c r="AF18" s="81">
        <v>1997</v>
      </c>
      <c r="AG18" s="82">
        <f t="shared" si="19"/>
        <v>1.6231884057971015E-3</v>
      </c>
      <c r="AH18" s="81">
        <v>1997</v>
      </c>
      <c r="AI18" s="82">
        <f t="shared" si="20"/>
        <v>1.6231884057971015E-3</v>
      </c>
      <c r="AJ18" s="81">
        <v>1997</v>
      </c>
      <c r="AK18" s="82">
        <f t="shared" si="20"/>
        <v>1.6231884057971015E-3</v>
      </c>
      <c r="AL18" s="87">
        <v>1997</v>
      </c>
      <c r="AM18" s="82">
        <f t="shared" si="20"/>
        <v>1.6231884057971015E-3</v>
      </c>
      <c r="AN18" s="252" t="s">
        <v>34</v>
      </c>
      <c r="AQ18" s="71">
        <v>1997</v>
      </c>
      <c r="AR18" s="157">
        <v>2.5000000000000001E-2</v>
      </c>
      <c r="AS18" s="111"/>
      <c r="AT18" s="111"/>
      <c r="AU18" s="112">
        <v>3.1E-2</v>
      </c>
      <c r="AV18" s="101"/>
      <c r="AW18" s="71">
        <v>1997</v>
      </c>
      <c r="AX18" s="113">
        <f t="shared" si="21"/>
        <v>140.925613766976</v>
      </c>
      <c r="AY18" s="111"/>
      <c r="AZ18" s="111"/>
      <c r="BA18" s="114">
        <f t="shared" si="22"/>
        <v>147.36699670780339</v>
      </c>
      <c r="BB18" s="101"/>
      <c r="BC18" s="115">
        <f t="shared" si="8"/>
        <v>0.95629019329477649</v>
      </c>
    </row>
    <row r="19" spans="2:55" ht="21">
      <c r="B19" s="162">
        <f t="shared" si="9"/>
        <v>1998</v>
      </c>
      <c r="C19" s="386">
        <f t="shared" si="10"/>
        <v>3.3000000000000002E-2</v>
      </c>
      <c r="D19" s="398">
        <v>0.05</v>
      </c>
      <c r="E19" s="399">
        <f t="shared" si="0"/>
        <v>3.3000000000000002E-2</v>
      </c>
      <c r="F19" s="101"/>
      <c r="G19" s="400">
        <f t="shared" si="1"/>
        <v>2.2000000000000002E-2</v>
      </c>
      <c r="H19" s="401">
        <f t="shared" si="2"/>
        <v>3.3333333333333333E-2</v>
      </c>
      <c r="I19" s="402">
        <f t="shared" si="3"/>
        <v>2.2000000000000002E-2</v>
      </c>
      <c r="J19" s="101"/>
      <c r="K19" s="402">
        <f t="shared" si="4"/>
        <v>2.2000000000000002E-2</v>
      </c>
      <c r="L19" s="379">
        <f t="shared" si="11"/>
        <v>17</v>
      </c>
      <c r="M19" s="379">
        <f t="shared" si="12"/>
        <v>23</v>
      </c>
      <c r="N19" s="379">
        <f t="shared" si="13"/>
        <v>2</v>
      </c>
      <c r="O19" s="379">
        <f t="shared" si="14"/>
        <v>2</v>
      </c>
      <c r="P19" s="379">
        <f t="shared" si="15"/>
        <v>2</v>
      </c>
      <c r="Q19" s="404">
        <f t="shared" si="16"/>
        <v>0</v>
      </c>
      <c r="R19" s="416">
        <f t="shared" si="23"/>
        <v>1.9130434782608696E-3</v>
      </c>
      <c r="S19" s="407">
        <f t="shared" si="24"/>
        <v>3.3000000000000002E-2</v>
      </c>
      <c r="V19" s="240">
        <v>1998</v>
      </c>
      <c r="W19" s="405">
        <v>3.3000000000000002E-2</v>
      </c>
      <c r="X19" s="244">
        <f t="shared" si="17"/>
        <v>1.9130434782608696E-3</v>
      </c>
      <c r="AB19" s="81">
        <v>1998</v>
      </c>
      <c r="AC19" s="88">
        <f t="shared" si="7"/>
        <v>1.9130434782608696E-3</v>
      </c>
      <c r="AD19" s="81">
        <v>1998</v>
      </c>
      <c r="AE19" s="82">
        <f t="shared" si="18"/>
        <v>1.9130434782608696E-3</v>
      </c>
      <c r="AF19" s="81">
        <v>1998</v>
      </c>
      <c r="AG19" s="82">
        <f t="shared" si="19"/>
        <v>1.9130434782608696E-3</v>
      </c>
      <c r="AH19" s="81">
        <v>1998</v>
      </c>
      <c r="AI19" s="82">
        <f t="shared" si="20"/>
        <v>1.9130434782608696E-3</v>
      </c>
      <c r="AJ19" s="81">
        <v>1998</v>
      </c>
      <c r="AK19" s="82">
        <f t="shared" si="20"/>
        <v>1.9130434782608696E-3</v>
      </c>
      <c r="AL19" s="87">
        <v>1998</v>
      </c>
      <c r="AM19" s="82">
        <f t="shared" si="20"/>
        <v>1.9130434782608696E-3</v>
      </c>
      <c r="AN19" s="252" t="s">
        <v>34</v>
      </c>
      <c r="AQ19" s="71">
        <v>1998</v>
      </c>
      <c r="AR19" s="157">
        <v>0</v>
      </c>
      <c r="AS19" s="75">
        <v>0</v>
      </c>
      <c r="AT19" s="111"/>
      <c r="AU19" s="112">
        <v>3.4000000000000002E-2</v>
      </c>
      <c r="AV19" s="101"/>
      <c r="AW19" s="71">
        <v>1998</v>
      </c>
      <c r="AX19" s="111"/>
      <c r="AY19" s="116">
        <f>AX18*(1+AS19)</f>
        <v>140.925613766976</v>
      </c>
      <c r="AZ19" s="111"/>
      <c r="BA19" s="114">
        <f t="shared" si="22"/>
        <v>152.3774745958687</v>
      </c>
      <c r="BB19" s="101"/>
      <c r="BC19" s="115">
        <f>AY19/BA19</f>
        <v>0.92484544806071234</v>
      </c>
    </row>
    <row r="20" spans="2:55" ht="21">
      <c r="B20" s="162">
        <f t="shared" si="9"/>
        <v>1999</v>
      </c>
      <c r="C20" s="386">
        <f t="shared" si="10"/>
        <v>2.4E-2</v>
      </c>
      <c r="D20" s="398">
        <v>0.05</v>
      </c>
      <c r="E20" s="399">
        <f t="shared" si="0"/>
        <v>2.4E-2</v>
      </c>
      <c r="F20" s="101"/>
      <c r="G20" s="400">
        <f t="shared" si="1"/>
        <v>1.6E-2</v>
      </c>
      <c r="H20" s="401">
        <f t="shared" si="2"/>
        <v>3.3333333333333333E-2</v>
      </c>
      <c r="I20" s="402">
        <f t="shared" si="3"/>
        <v>1.6E-2</v>
      </c>
      <c r="J20" s="101"/>
      <c r="K20" s="402">
        <f t="shared" si="4"/>
        <v>1.6E-2</v>
      </c>
      <c r="L20" s="379">
        <f t="shared" si="11"/>
        <v>17</v>
      </c>
      <c r="M20" s="379">
        <f t="shared" si="12"/>
        <v>23</v>
      </c>
      <c r="N20" s="379">
        <f t="shared" si="13"/>
        <v>2</v>
      </c>
      <c r="O20" s="379">
        <f t="shared" si="14"/>
        <v>2</v>
      </c>
      <c r="P20" s="379">
        <f t="shared" si="15"/>
        <v>2</v>
      </c>
      <c r="Q20" s="404">
        <f t="shared" si="16"/>
        <v>0</v>
      </c>
      <c r="R20" s="416">
        <f t="shared" si="23"/>
        <v>1.3913043478260871E-3</v>
      </c>
      <c r="S20" s="407">
        <f t="shared" si="24"/>
        <v>2.4E-2</v>
      </c>
      <c r="V20" s="240">
        <v>1999</v>
      </c>
      <c r="W20" s="405">
        <v>2.4E-2</v>
      </c>
      <c r="X20" s="244">
        <f t="shared" si="17"/>
        <v>1.3913043478260871E-3</v>
      </c>
      <c r="AB20" s="81">
        <v>1999</v>
      </c>
      <c r="AC20" s="88">
        <f t="shared" si="7"/>
        <v>1.3913043478260871E-3</v>
      </c>
      <c r="AD20" s="81">
        <v>1999</v>
      </c>
      <c r="AE20" s="82">
        <f t="shared" si="18"/>
        <v>1.3913043478260871E-3</v>
      </c>
      <c r="AF20" s="81">
        <v>1999</v>
      </c>
      <c r="AG20" s="82">
        <f t="shared" si="19"/>
        <v>1.3913043478260871E-3</v>
      </c>
      <c r="AH20" s="81">
        <v>1999</v>
      </c>
      <c r="AI20" s="82">
        <f t="shared" si="20"/>
        <v>1.3913043478260871E-3</v>
      </c>
      <c r="AJ20" s="81">
        <v>1999</v>
      </c>
      <c r="AK20" s="82">
        <f t="shared" si="20"/>
        <v>1.3913043478260871E-3</v>
      </c>
      <c r="AL20" s="87">
        <v>1999</v>
      </c>
      <c r="AM20" s="82">
        <f t="shared" si="20"/>
        <v>1.3913043478260871E-3</v>
      </c>
      <c r="AN20" s="252" t="s">
        <v>34</v>
      </c>
      <c r="AQ20" s="71">
        <v>1999</v>
      </c>
      <c r="AR20" s="158">
        <v>0.04</v>
      </c>
      <c r="AS20" s="77">
        <v>0.04</v>
      </c>
      <c r="AT20" s="111"/>
      <c r="AU20" s="112">
        <v>1.4999999999999999E-2</v>
      </c>
      <c r="AV20" s="101"/>
      <c r="AW20" s="71">
        <v>1999</v>
      </c>
      <c r="AX20" s="111"/>
      <c r="AY20" s="117">
        <f>AY19*(1+AS20)</f>
        <v>146.56263831765506</v>
      </c>
      <c r="AZ20" s="111"/>
      <c r="BA20" s="114">
        <f t="shared" si="22"/>
        <v>154.66313671480671</v>
      </c>
      <c r="BB20" s="101"/>
      <c r="BC20" s="115">
        <f>AY20/BA20</f>
        <v>0.94762489259422766</v>
      </c>
    </row>
    <row r="21" spans="2:55" ht="21">
      <c r="B21" s="162">
        <f t="shared" si="9"/>
        <v>2000</v>
      </c>
      <c r="C21" s="386">
        <f t="shared" si="10"/>
        <v>0.02</v>
      </c>
      <c r="D21" s="398">
        <v>0.05</v>
      </c>
      <c r="E21" s="399">
        <f t="shared" si="0"/>
        <v>0.02</v>
      </c>
      <c r="F21" s="101"/>
      <c r="G21" s="400">
        <f t="shared" si="1"/>
        <v>1.3333333333333334E-2</v>
      </c>
      <c r="H21" s="401">
        <f t="shared" si="2"/>
        <v>3.3333333333333333E-2</v>
      </c>
      <c r="I21" s="402">
        <f t="shared" si="3"/>
        <v>1.3333333333333334E-2</v>
      </c>
      <c r="J21" s="101"/>
      <c r="K21" s="402">
        <f t="shared" si="4"/>
        <v>1.3333333333333334E-2</v>
      </c>
      <c r="L21" s="379">
        <f t="shared" si="11"/>
        <v>17</v>
      </c>
      <c r="M21" s="379">
        <f t="shared" si="12"/>
        <v>23</v>
      </c>
      <c r="N21" s="379">
        <f t="shared" si="13"/>
        <v>2</v>
      </c>
      <c r="O21" s="379">
        <f t="shared" si="14"/>
        <v>2</v>
      </c>
      <c r="P21" s="379">
        <f t="shared" si="15"/>
        <v>2</v>
      </c>
      <c r="Q21" s="404">
        <f t="shared" si="16"/>
        <v>0</v>
      </c>
      <c r="R21" s="416">
        <f t="shared" si="23"/>
        <v>1.1594202898550724E-3</v>
      </c>
      <c r="S21" s="407">
        <f t="shared" si="24"/>
        <v>0.02</v>
      </c>
      <c r="V21" s="240">
        <v>2000</v>
      </c>
      <c r="W21" s="405">
        <v>0.02</v>
      </c>
      <c r="X21" s="244">
        <f t="shared" si="17"/>
        <v>1.1594202898550724E-3</v>
      </c>
      <c r="AB21" s="81">
        <v>2000</v>
      </c>
      <c r="AC21" s="88">
        <f t="shared" si="7"/>
        <v>1.1594202898550724E-3</v>
      </c>
      <c r="AD21" s="81">
        <v>2000</v>
      </c>
      <c r="AE21" s="82">
        <f t="shared" si="18"/>
        <v>1.1594202898550724E-3</v>
      </c>
      <c r="AF21" s="81">
        <v>2000</v>
      </c>
      <c r="AG21" s="82">
        <f t="shared" si="19"/>
        <v>1.1594202898550724E-3</v>
      </c>
      <c r="AH21" s="81">
        <v>2000</v>
      </c>
      <c r="AI21" s="82">
        <f t="shared" si="20"/>
        <v>1.1594202898550724E-3</v>
      </c>
      <c r="AJ21" s="81">
        <v>2000</v>
      </c>
      <c r="AK21" s="82">
        <f t="shared" si="20"/>
        <v>1.1594202898550724E-3</v>
      </c>
      <c r="AL21" s="87">
        <v>2000</v>
      </c>
      <c r="AM21" s="82">
        <f t="shared" si="20"/>
        <v>1.1594202898550724E-3</v>
      </c>
      <c r="AN21" s="252" t="s">
        <v>34</v>
      </c>
      <c r="AQ21" s="71">
        <v>2000</v>
      </c>
      <c r="AR21" s="158">
        <v>0.02</v>
      </c>
      <c r="AS21" s="77">
        <v>0.02</v>
      </c>
      <c r="AT21" s="111"/>
      <c r="AU21" s="112">
        <v>0.03</v>
      </c>
      <c r="AV21" s="101"/>
      <c r="AW21" s="71">
        <v>2000</v>
      </c>
      <c r="AX21" s="111"/>
      <c r="AY21" s="117">
        <f>AY20*(1+AS21)</f>
        <v>149.49389108400817</v>
      </c>
      <c r="AZ21" s="111"/>
      <c r="BA21" s="114">
        <f t="shared" si="22"/>
        <v>159.30303081625092</v>
      </c>
      <c r="BB21" s="101"/>
      <c r="BC21" s="115">
        <f>AY21/BA21</f>
        <v>0.93842465091855554</v>
      </c>
    </row>
    <row r="22" spans="2:55" ht="21">
      <c r="B22" s="162">
        <f t="shared" si="9"/>
        <v>2001</v>
      </c>
      <c r="C22" s="386">
        <f t="shared" si="10"/>
        <v>2.7E-2</v>
      </c>
      <c r="D22" s="398">
        <v>0.05</v>
      </c>
      <c r="E22" s="399">
        <f t="shared" si="0"/>
        <v>2.7E-2</v>
      </c>
      <c r="F22" s="101"/>
      <c r="G22" s="400">
        <f t="shared" si="1"/>
        <v>1.7999999999999999E-2</v>
      </c>
      <c r="H22" s="401">
        <f t="shared" si="2"/>
        <v>3.3333333333333333E-2</v>
      </c>
      <c r="I22" s="402">
        <f t="shared" si="3"/>
        <v>1.7999999999999999E-2</v>
      </c>
      <c r="J22" s="101"/>
      <c r="K22" s="402">
        <f t="shared" si="4"/>
        <v>1.7999999999999999E-2</v>
      </c>
      <c r="L22" s="379">
        <f t="shared" si="11"/>
        <v>17</v>
      </c>
      <c r="M22" s="379">
        <f t="shared" si="12"/>
        <v>23</v>
      </c>
      <c r="N22" s="379">
        <f t="shared" si="13"/>
        <v>2</v>
      </c>
      <c r="O22" s="379">
        <f t="shared" si="14"/>
        <v>2</v>
      </c>
      <c r="P22" s="379">
        <f t="shared" si="15"/>
        <v>2</v>
      </c>
      <c r="Q22" s="404">
        <f t="shared" si="16"/>
        <v>0</v>
      </c>
      <c r="R22" s="416">
        <f t="shared" si="23"/>
        <v>1.5652173913043477E-3</v>
      </c>
      <c r="S22" s="407">
        <f t="shared" si="24"/>
        <v>2.7E-2</v>
      </c>
      <c r="V22" s="240">
        <v>2001</v>
      </c>
      <c r="W22" s="405">
        <v>2.7E-2</v>
      </c>
      <c r="X22" s="244">
        <f t="shared" si="17"/>
        <v>1.5652173913043477E-3</v>
      </c>
      <c r="AB22" s="81">
        <v>2001</v>
      </c>
      <c r="AC22" s="88">
        <f t="shared" si="7"/>
        <v>1.5652173913043477E-3</v>
      </c>
      <c r="AD22" s="81">
        <v>2001</v>
      </c>
      <c r="AE22" s="82">
        <f t="shared" si="18"/>
        <v>1.5652173913043477E-3</v>
      </c>
      <c r="AF22" s="81">
        <v>2001</v>
      </c>
      <c r="AG22" s="82">
        <f t="shared" si="19"/>
        <v>1.5652173913043477E-3</v>
      </c>
      <c r="AH22" s="81">
        <v>2001</v>
      </c>
      <c r="AI22" s="82">
        <f t="shared" si="20"/>
        <v>1.5652173913043477E-3</v>
      </c>
      <c r="AJ22" s="81">
        <v>2001</v>
      </c>
      <c r="AK22" s="82">
        <f t="shared" si="20"/>
        <v>1.5652173913043477E-3</v>
      </c>
      <c r="AL22" s="87">
        <v>2001</v>
      </c>
      <c r="AM22" s="82">
        <f t="shared" si="20"/>
        <v>1.5652173913043477E-3</v>
      </c>
      <c r="AN22" s="252" t="s">
        <v>34</v>
      </c>
      <c r="AQ22" s="71">
        <v>2001</v>
      </c>
      <c r="AR22" s="158">
        <v>1.4999999999999999E-2</v>
      </c>
      <c r="AS22" s="77">
        <v>1.4999999999999999E-2</v>
      </c>
      <c r="AT22" s="111"/>
      <c r="AU22" s="112">
        <v>1.7999999999999999E-2</v>
      </c>
      <c r="AV22" s="101"/>
      <c r="AW22" s="71">
        <v>2001</v>
      </c>
      <c r="AX22" s="111"/>
      <c r="AY22" s="117">
        <f>AY21*(1+AS22)</f>
        <v>151.73629945026829</v>
      </c>
      <c r="AZ22" s="111"/>
      <c r="BA22" s="114">
        <f t="shared" si="22"/>
        <v>162.17048537094345</v>
      </c>
      <c r="BB22" s="101"/>
      <c r="BC22" s="115">
        <f>AY22/BA22</f>
        <v>0.93565915587655579</v>
      </c>
    </row>
    <row r="23" spans="2:55" ht="21">
      <c r="B23" s="162">
        <f t="shared" si="9"/>
        <v>2002</v>
      </c>
      <c r="C23" s="386">
        <f t="shared" si="10"/>
        <v>1.2999999999999999E-2</v>
      </c>
      <c r="D23" s="398">
        <v>0.05</v>
      </c>
      <c r="E23" s="399">
        <f t="shared" si="0"/>
        <v>1.2999999999999999E-2</v>
      </c>
      <c r="F23" s="101"/>
      <c r="G23" s="400">
        <f t="shared" si="1"/>
        <v>8.6666666666666663E-3</v>
      </c>
      <c r="H23" s="401">
        <f t="shared" si="2"/>
        <v>3.3333333333333333E-2</v>
      </c>
      <c r="I23" s="402">
        <f t="shared" si="3"/>
        <v>8.6666666666666663E-3</v>
      </c>
      <c r="J23" s="101"/>
      <c r="K23" s="402">
        <f t="shared" si="4"/>
        <v>8.6666666666666663E-3</v>
      </c>
      <c r="L23" s="379">
        <f t="shared" si="11"/>
        <v>17</v>
      </c>
      <c r="M23" s="379">
        <f t="shared" si="12"/>
        <v>23</v>
      </c>
      <c r="N23" s="379">
        <f t="shared" si="13"/>
        <v>2</v>
      </c>
      <c r="O23" s="379">
        <f t="shared" si="14"/>
        <v>2</v>
      </c>
      <c r="P23" s="379">
        <f t="shared" si="15"/>
        <v>2</v>
      </c>
      <c r="Q23" s="404">
        <f t="shared" si="16"/>
        <v>0</v>
      </c>
      <c r="R23" s="416">
        <f t="shared" si="23"/>
        <v>7.5362318840579707E-4</v>
      </c>
      <c r="S23" s="407">
        <f t="shared" si="24"/>
        <v>1.2999999999999999E-2</v>
      </c>
      <c r="V23" s="240">
        <v>2002</v>
      </c>
      <c r="W23" s="405">
        <v>1.2999999999999999E-2</v>
      </c>
      <c r="X23" s="244">
        <f t="shared" si="17"/>
        <v>7.5362318840579707E-4</v>
      </c>
      <c r="AB23" s="81">
        <v>2002</v>
      </c>
      <c r="AC23" s="88">
        <f t="shared" si="7"/>
        <v>7.5362318840579707E-4</v>
      </c>
      <c r="AD23" s="81">
        <v>2002</v>
      </c>
      <c r="AE23" s="82">
        <f t="shared" si="18"/>
        <v>7.5362318840579707E-4</v>
      </c>
      <c r="AF23" s="81">
        <v>2002</v>
      </c>
      <c r="AG23" s="82">
        <f t="shared" si="19"/>
        <v>7.5362318840579707E-4</v>
      </c>
      <c r="AH23" s="81">
        <v>2002</v>
      </c>
      <c r="AI23" s="82">
        <f t="shared" si="20"/>
        <v>7.5362318840579707E-4</v>
      </c>
      <c r="AJ23" s="81">
        <v>2002</v>
      </c>
      <c r="AK23" s="82">
        <f t="shared" si="20"/>
        <v>7.5362318840579707E-4</v>
      </c>
      <c r="AL23" s="87">
        <v>2002</v>
      </c>
      <c r="AM23" s="82">
        <f t="shared" si="20"/>
        <v>7.5362318840579707E-4</v>
      </c>
      <c r="AN23" s="252" t="s">
        <v>34</v>
      </c>
      <c r="AQ23" s="71">
        <v>2002</v>
      </c>
      <c r="AR23" s="158">
        <v>0</v>
      </c>
      <c r="AS23" s="111"/>
      <c r="AT23" s="78">
        <v>0</v>
      </c>
      <c r="AU23" s="112">
        <v>1.7000000000000001E-2</v>
      </c>
      <c r="AV23" s="180">
        <v>2.9</v>
      </c>
      <c r="AW23" s="71">
        <v>2002</v>
      </c>
      <c r="AX23" s="111"/>
      <c r="AY23" s="111"/>
      <c r="AZ23" s="117">
        <f>AY22*(1+AT23)</f>
        <v>151.73629945026829</v>
      </c>
      <c r="BA23" s="114">
        <f t="shared" si="22"/>
        <v>164.92738362224947</v>
      </c>
      <c r="BB23" s="101"/>
      <c r="BC23" s="115">
        <f t="shared" ref="BC23:BC39" si="25">AZ23/BA23</f>
        <v>0.92001883567016318</v>
      </c>
    </row>
    <row r="24" spans="2:55" ht="21">
      <c r="B24" s="162">
        <f t="shared" si="9"/>
        <v>2003</v>
      </c>
      <c r="C24" s="386">
        <f t="shared" si="10"/>
        <v>2.9000000000000001E-2</v>
      </c>
      <c r="D24" s="398">
        <v>0.05</v>
      </c>
      <c r="E24" s="399">
        <f t="shared" si="0"/>
        <v>2.9000000000000001E-2</v>
      </c>
      <c r="F24" s="101"/>
      <c r="G24" s="400">
        <f t="shared" si="1"/>
        <v>1.9333333333333334E-2</v>
      </c>
      <c r="H24" s="401">
        <f t="shared" si="2"/>
        <v>3.3333333333333333E-2</v>
      </c>
      <c r="I24" s="402">
        <f t="shared" si="3"/>
        <v>1.9333333333333334E-2</v>
      </c>
      <c r="J24" s="101"/>
      <c r="K24" s="402">
        <f t="shared" si="4"/>
        <v>1.9333333333333334E-2</v>
      </c>
      <c r="L24" s="379">
        <f t="shared" si="11"/>
        <v>17</v>
      </c>
      <c r="M24" s="379">
        <f t="shared" si="12"/>
        <v>23</v>
      </c>
      <c r="N24" s="379">
        <f t="shared" si="13"/>
        <v>2</v>
      </c>
      <c r="O24" s="379">
        <f t="shared" si="14"/>
        <v>2</v>
      </c>
      <c r="P24" s="379">
        <f t="shared" si="15"/>
        <v>2</v>
      </c>
      <c r="Q24" s="404">
        <f t="shared" si="16"/>
        <v>0</v>
      </c>
      <c r="R24" s="416">
        <f t="shared" si="23"/>
        <v>1.6811594202898552E-3</v>
      </c>
      <c r="S24" s="407">
        <f t="shared" si="24"/>
        <v>2.9000000000000001E-2</v>
      </c>
      <c r="V24" s="240">
        <v>2003</v>
      </c>
      <c r="W24" s="405">
        <v>2.9000000000000001E-2</v>
      </c>
      <c r="X24" s="244">
        <f t="shared" si="17"/>
        <v>1.6811594202898552E-3</v>
      </c>
      <c r="AB24" s="81">
        <v>2003</v>
      </c>
      <c r="AC24" s="88">
        <f t="shared" si="7"/>
        <v>1.6811594202898552E-3</v>
      </c>
      <c r="AD24" s="81">
        <v>2003</v>
      </c>
      <c r="AE24" s="82">
        <f t="shared" si="18"/>
        <v>1.6811594202898552E-3</v>
      </c>
      <c r="AF24" s="81">
        <v>2003</v>
      </c>
      <c r="AG24" s="82">
        <f t="shared" si="19"/>
        <v>1.6811594202898552E-3</v>
      </c>
      <c r="AH24" s="81">
        <v>2003</v>
      </c>
      <c r="AI24" s="82">
        <f t="shared" si="20"/>
        <v>1.6811594202898552E-3</v>
      </c>
      <c r="AJ24" s="81">
        <v>2003</v>
      </c>
      <c r="AK24" s="82">
        <f t="shared" si="20"/>
        <v>1.6811594202898552E-3</v>
      </c>
      <c r="AL24" s="87">
        <v>2003</v>
      </c>
      <c r="AM24" s="82">
        <f t="shared" si="20"/>
        <v>1.6811594202898552E-3</v>
      </c>
      <c r="AN24" s="252" t="s">
        <v>34</v>
      </c>
      <c r="AQ24" s="71">
        <v>2003</v>
      </c>
      <c r="AR24" s="157">
        <v>0</v>
      </c>
      <c r="AS24" s="111"/>
      <c r="AT24" s="76">
        <v>0</v>
      </c>
      <c r="AU24" s="112">
        <v>2.9000000000000001E-2</v>
      </c>
      <c r="AV24" s="180">
        <v>2.8</v>
      </c>
      <c r="AW24" s="71">
        <v>2003</v>
      </c>
      <c r="AX24" s="111"/>
      <c r="AY24" s="111"/>
      <c r="AZ24" s="117">
        <f t="shared" ref="AZ24:AZ31" si="26">AZ23*(1+AT24)</f>
        <v>151.73629945026829</v>
      </c>
      <c r="BA24" s="114">
        <f t="shared" si="22"/>
        <v>169.7102777472947</v>
      </c>
      <c r="BB24" s="101"/>
      <c r="BC24" s="115">
        <f t="shared" si="25"/>
        <v>0.8940902193101683</v>
      </c>
    </row>
    <row r="25" spans="2:55" ht="21">
      <c r="B25" s="162">
        <f t="shared" si="9"/>
        <v>2004</v>
      </c>
      <c r="C25" s="386">
        <f t="shared" si="10"/>
        <v>2.5999999999999999E-2</v>
      </c>
      <c r="D25" s="398">
        <v>0.05</v>
      </c>
      <c r="E25" s="399">
        <f t="shared" si="0"/>
        <v>2.5999999999999999E-2</v>
      </c>
      <c r="F25" s="101"/>
      <c r="G25" s="400">
        <f t="shared" si="1"/>
        <v>1.7333333333333333E-2</v>
      </c>
      <c r="H25" s="401">
        <f t="shared" si="2"/>
        <v>3.3333333333333333E-2</v>
      </c>
      <c r="I25" s="402">
        <f t="shared" si="3"/>
        <v>1.7333333333333333E-2</v>
      </c>
      <c r="J25" s="101"/>
      <c r="K25" s="402">
        <f t="shared" si="4"/>
        <v>1.7333333333333333E-2</v>
      </c>
      <c r="L25" s="379">
        <f t="shared" si="11"/>
        <v>17</v>
      </c>
      <c r="M25" s="379">
        <f t="shared" si="12"/>
        <v>23</v>
      </c>
      <c r="N25" s="379">
        <f t="shared" si="13"/>
        <v>2</v>
      </c>
      <c r="O25" s="379">
        <f t="shared" si="14"/>
        <v>2</v>
      </c>
      <c r="P25" s="379">
        <f t="shared" si="15"/>
        <v>2</v>
      </c>
      <c r="Q25" s="404">
        <f t="shared" si="16"/>
        <v>0</v>
      </c>
      <c r="R25" s="416">
        <f t="shared" si="23"/>
        <v>1.5072463768115941E-3</v>
      </c>
      <c r="S25" s="407">
        <f t="shared" si="24"/>
        <v>2.5999999999999999E-2</v>
      </c>
      <c r="V25" s="240">
        <v>2004</v>
      </c>
      <c r="W25" s="405">
        <v>2.5999999999999999E-2</v>
      </c>
      <c r="X25" s="244">
        <f t="shared" si="17"/>
        <v>1.5072463768115941E-3</v>
      </c>
      <c r="AB25" s="81">
        <v>2004</v>
      </c>
      <c r="AC25" s="88">
        <f t="shared" si="7"/>
        <v>1.5072463768115941E-3</v>
      </c>
      <c r="AD25" s="81">
        <v>2004</v>
      </c>
      <c r="AE25" s="82">
        <f t="shared" si="18"/>
        <v>1.5072463768115941E-3</v>
      </c>
      <c r="AF25" s="81">
        <v>2004</v>
      </c>
      <c r="AG25" s="82">
        <f t="shared" si="19"/>
        <v>1.5072463768115941E-3</v>
      </c>
      <c r="AH25" s="81">
        <v>2004</v>
      </c>
      <c r="AI25" s="82">
        <f t="shared" si="20"/>
        <v>1.5072463768115941E-3</v>
      </c>
      <c r="AJ25" s="81">
        <v>2004</v>
      </c>
      <c r="AK25" s="82">
        <f t="shared" si="20"/>
        <v>1.5072463768115941E-3</v>
      </c>
      <c r="AL25" s="87">
        <v>2004</v>
      </c>
      <c r="AM25" s="82">
        <f t="shared" si="20"/>
        <v>1.5072463768115941E-3</v>
      </c>
      <c r="AN25" s="252" t="s">
        <v>34</v>
      </c>
      <c r="AQ25" s="71">
        <v>2004</v>
      </c>
      <c r="AR25" s="158">
        <v>0.01</v>
      </c>
      <c r="AS25" s="111"/>
      <c r="AT25" s="77">
        <v>0.01</v>
      </c>
      <c r="AU25" s="112">
        <v>0.03</v>
      </c>
      <c r="AV25" s="180">
        <v>3.5</v>
      </c>
      <c r="AW25" s="71">
        <v>2004</v>
      </c>
      <c r="AX25" s="111"/>
      <c r="AY25" s="111"/>
      <c r="AZ25" s="117">
        <f t="shared" si="26"/>
        <v>153.25366244477098</v>
      </c>
      <c r="BA25" s="114">
        <f t="shared" si="22"/>
        <v>174.80158607971353</v>
      </c>
      <c r="BB25" s="101"/>
      <c r="BC25" s="115">
        <f t="shared" si="25"/>
        <v>0.87672924417793208</v>
      </c>
    </row>
    <row r="26" spans="2:55" ht="21">
      <c r="B26" s="162">
        <f t="shared" si="9"/>
        <v>2005</v>
      </c>
      <c r="C26" s="386">
        <f t="shared" si="10"/>
        <v>3.2000000000000001E-2</v>
      </c>
      <c r="D26" s="398">
        <v>0.05</v>
      </c>
      <c r="E26" s="399">
        <f t="shared" si="0"/>
        <v>3.2000000000000001E-2</v>
      </c>
      <c r="F26" s="101"/>
      <c r="G26" s="400">
        <f t="shared" si="1"/>
        <v>2.1333333333333333E-2</v>
      </c>
      <c r="H26" s="401">
        <f t="shared" si="2"/>
        <v>3.3333333333333333E-2</v>
      </c>
      <c r="I26" s="402">
        <f t="shared" si="3"/>
        <v>2.1333333333333333E-2</v>
      </c>
      <c r="J26" s="101"/>
      <c r="K26" s="402">
        <f t="shared" si="4"/>
        <v>2.1333333333333333E-2</v>
      </c>
      <c r="L26" s="379">
        <f t="shared" si="11"/>
        <v>17</v>
      </c>
      <c r="M26" s="379">
        <f t="shared" si="12"/>
        <v>23</v>
      </c>
      <c r="N26" s="379">
        <f t="shared" si="13"/>
        <v>2</v>
      </c>
      <c r="O26" s="379">
        <f t="shared" si="14"/>
        <v>2</v>
      </c>
      <c r="P26" s="379">
        <f t="shared" si="15"/>
        <v>2</v>
      </c>
      <c r="Q26" s="404">
        <f t="shared" si="16"/>
        <v>0</v>
      </c>
      <c r="R26" s="416">
        <f t="shared" si="23"/>
        <v>1.8550724637681159E-3</v>
      </c>
      <c r="S26" s="407">
        <f t="shared" si="24"/>
        <v>3.2000000000000001E-2</v>
      </c>
      <c r="V26" s="240">
        <v>2005</v>
      </c>
      <c r="W26" s="405">
        <v>3.2000000000000001E-2</v>
      </c>
      <c r="X26" s="244">
        <f t="shared" si="17"/>
        <v>1.8550724637681159E-3</v>
      </c>
      <c r="AB26" s="81">
        <v>2005</v>
      </c>
      <c r="AC26" s="88">
        <f t="shared" si="7"/>
        <v>1.8550724637681159E-3</v>
      </c>
      <c r="AD26" s="81">
        <v>2005</v>
      </c>
      <c r="AE26" s="82">
        <f t="shared" si="18"/>
        <v>1.8550724637681159E-3</v>
      </c>
      <c r="AF26" s="81">
        <v>2005</v>
      </c>
      <c r="AG26" s="82">
        <f t="shared" si="19"/>
        <v>1.8550724637681159E-3</v>
      </c>
      <c r="AH26" s="81">
        <v>2005</v>
      </c>
      <c r="AI26" s="82">
        <f t="shared" si="20"/>
        <v>1.8550724637681159E-3</v>
      </c>
      <c r="AJ26" s="81">
        <v>2005</v>
      </c>
      <c r="AK26" s="82">
        <f t="shared" si="20"/>
        <v>1.8550724637681159E-3</v>
      </c>
      <c r="AL26" s="87">
        <v>2005</v>
      </c>
      <c r="AM26" s="82">
        <f t="shared" si="20"/>
        <v>1.8550724637681159E-3</v>
      </c>
      <c r="AN26" s="252" t="s">
        <v>34</v>
      </c>
      <c r="AQ26" s="71">
        <v>2005</v>
      </c>
      <c r="AR26" s="157">
        <v>0</v>
      </c>
      <c r="AS26" s="111"/>
      <c r="AT26" s="76">
        <v>0</v>
      </c>
      <c r="AU26" s="112">
        <v>2.8000000000000001E-2</v>
      </c>
      <c r="AV26" s="180">
        <v>2.2000000000000002</v>
      </c>
      <c r="AW26" s="71">
        <v>2005</v>
      </c>
      <c r="AX26" s="111"/>
      <c r="AY26" s="111"/>
      <c r="AZ26" s="117">
        <f t="shared" si="26"/>
        <v>153.25366244477098</v>
      </c>
      <c r="BA26" s="114">
        <f t="shared" si="22"/>
        <v>179.69603048994551</v>
      </c>
      <c r="BB26" s="101"/>
      <c r="BC26" s="115">
        <f t="shared" si="25"/>
        <v>0.85284945931705458</v>
      </c>
    </row>
    <row r="27" spans="2:55" ht="21">
      <c r="B27" s="162">
        <f t="shared" si="9"/>
        <v>2006</v>
      </c>
      <c r="C27" s="386">
        <f t="shared" si="10"/>
        <v>2.4E-2</v>
      </c>
      <c r="D27" s="398">
        <v>0.05</v>
      </c>
      <c r="E27" s="399">
        <f t="shared" si="0"/>
        <v>2.4E-2</v>
      </c>
      <c r="F27" s="101"/>
      <c r="G27" s="400">
        <f t="shared" si="1"/>
        <v>1.6E-2</v>
      </c>
      <c r="H27" s="401">
        <f t="shared" si="2"/>
        <v>3.3333333333333333E-2</v>
      </c>
      <c r="I27" s="402">
        <f t="shared" si="3"/>
        <v>1.6E-2</v>
      </c>
      <c r="J27" s="101"/>
      <c r="K27" s="402">
        <f t="shared" si="4"/>
        <v>1.6E-2</v>
      </c>
      <c r="L27" s="379">
        <f t="shared" si="11"/>
        <v>17</v>
      </c>
      <c r="M27" s="379">
        <f t="shared" si="12"/>
        <v>23</v>
      </c>
      <c r="N27" s="379">
        <f t="shared" si="13"/>
        <v>2</v>
      </c>
      <c r="O27" s="379">
        <f t="shared" si="14"/>
        <v>2</v>
      </c>
      <c r="P27" s="379">
        <f t="shared" si="15"/>
        <v>2</v>
      </c>
      <c r="Q27" s="404">
        <f t="shared" si="16"/>
        <v>0</v>
      </c>
      <c r="R27" s="416">
        <f t="shared" si="23"/>
        <v>1.3913043478260871E-3</v>
      </c>
      <c r="S27" s="407">
        <f t="shared" si="24"/>
        <v>2.4E-2</v>
      </c>
      <c r="V27" s="240">
        <v>2006</v>
      </c>
      <c r="W27" s="405">
        <v>2.4E-2</v>
      </c>
      <c r="X27" s="244">
        <f t="shared" si="17"/>
        <v>1.3913043478260871E-3</v>
      </c>
      <c r="AB27" s="81">
        <v>2006</v>
      </c>
      <c r="AC27" s="88">
        <f t="shared" si="7"/>
        <v>1.3913043478260871E-3</v>
      </c>
      <c r="AD27" s="81">
        <v>2006</v>
      </c>
      <c r="AE27" s="82">
        <f t="shared" si="18"/>
        <v>1.3913043478260871E-3</v>
      </c>
      <c r="AF27" s="81">
        <v>2006</v>
      </c>
      <c r="AG27" s="82">
        <f t="shared" si="19"/>
        <v>1.3913043478260871E-3</v>
      </c>
      <c r="AH27" s="81">
        <v>2006</v>
      </c>
      <c r="AI27" s="82">
        <f t="shared" si="20"/>
        <v>1.3913043478260871E-3</v>
      </c>
      <c r="AJ27" s="81">
        <v>2006</v>
      </c>
      <c r="AK27" s="82">
        <f t="shared" si="20"/>
        <v>1.3913043478260871E-3</v>
      </c>
      <c r="AL27" s="87">
        <v>2006</v>
      </c>
      <c r="AM27" s="82">
        <f t="shared" si="20"/>
        <v>1.3913043478260871E-3</v>
      </c>
      <c r="AN27" s="252" t="s">
        <v>34</v>
      </c>
      <c r="AQ27" s="71">
        <v>2006</v>
      </c>
      <c r="AR27" s="157">
        <v>0</v>
      </c>
      <c r="AS27" s="111"/>
      <c r="AT27" s="76">
        <v>0</v>
      </c>
      <c r="AU27" s="112">
        <v>3.2000000000000001E-2</v>
      </c>
      <c r="AV27" s="180">
        <v>4.4000000000000004</v>
      </c>
      <c r="AW27" s="71">
        <v>2006</v>
      </c>
      <c r="AX27" s="111"/>
      <c r="AY27" s="111"/>
      <c r="AZ27" s="117">
        <f t="shared" si="26"/>
        <v>153.25366244477098</v>
      </c>
      <c r="BA27" s="114">
        <f t="shared" si="22"/>
        <v>185.44630346562377</v>
      </c>
      <c r="BB27" s="101"/>
      <c r="BC27" s="115">
        <f t="shared" si="25"/>
        <v>0.82640451484210709</v>
      </c>
    </row>
    <row r="28" spans="2:55" ht="21">
      <c r="B28" s="162">
        <f t="shared" si="9"/>
        <v>2007</v>
      </c>
      <c r="C28" s="386">
        <f t="shared" si="10"/>
        <v>4.2000000000000003E-2</v>
      </c>
      <c r="D28" s="398">
        <v>0.05</v>
      </c>
      <c r="E28" s="399">
        <f t="shared" si="0"/>
        <v>4.2000000000000003E-2</v>
      </c>
      <c r="F28" s="101"/>
      <c r="G28" s="400">
        <f t="shared" si="1"/>
        <v>2.8000000000000001E-2</v>
      </c>
      <c r="H28" s="401">
        <f t="shared" si="2"/>
        <v>3.3333333333333333E-2</v>
      </c>
      <c r="I28" s="402">
        <f t="shared" si="3"/>
        <v>2.8000000000000001E-2</v>
      </c>
      <c r="J28" s="101"/>
      <c r="K28" s="402">
        <f t="shared" si="4"/>
        <v>2.8000000000000001E-2</v>
      </c>
      <c r="L28" s="379">
        <f t="shared" si="11"/>
        <v>17</v>
      </c>
      <c r="M28" s="379">
        <f t="shared" si="12"/>
        <v>23</v>
      </c>
      <c r="N28" s="379">
        <f t="shared" si="13"/>
        <v>2</v>
      </c>
      <c r="O28" s="379">
        <f t="shared" si="14"/>
        <v>2</v>
      </c>
      <c r="P28" s="379">
        <f t="shared" si="15"/>
        <v>2</v>
      </c>
      <c r="Q28" s="404">
        <f t="shared" si="16"/>
        <v>0</v>
      </c>
      <c r="R28" s="416">
        <f t="shared" si="23"/>
        <v>2.434782608695652E-3</v>
      </c>
      <c r="S28" s="407">
        <f t="shared" si="24"/>
        <v>4.2000000000000003E-2</v>
      </c>
      <c r="V28" s="240">
        <v>2007</v>
      </c>
      <c r="W28" s="405">
        <v>4.2000000000000003E-2</v>
      </c>
      <c r="X28" s="244">
        <f t="shared" si="17"/>
        <v>2.434782608695652E-3</v>
      </c>
      <c r="AB28" s="81">
        <v>2007</v>
      </c>
      <c r="AC28" s="88">
        <f t="shared" si="7"/>
        <v>2.434782608695652E-3</v>
      </c>
      <c r="AD28" s="81">
        <v>2007</v>
      </c>
      <c r="AE28" s="82">
        <f t="shared" si="18"/>
        <v>2.434782608695652E-3</v>
      </c>
      <c r="AF28" s="81">
        <v>2007</v>
      </c>
      <c r="AG28" s="82">
        <f t="shared" si="19"/>
        <v>2.434782608695652E-3</v>
      </c>
      <c r="AH28" s="81">
        <v>2007</v>
      </c>
      <c r="AI28" s="82">
        <f t="shared" si="20"/>
        <v>2.434782608695652E-3</v>
      </c>
      <c r="AJ28" s="81">
        <v>2007</v>
      </c>
      <c r="AK28" s="82">
        <f t="shared" si="20"/>
        <v>2.434782608695652E-3</v>
      </c>
      <c r="AL28" s="87">
        <v>2007</v>
      </c>
      <c r="AM28" s="82">
        <f t="shared" si="20"/>
        <v>2.434782608695652E-3</v>
      </c>
      <c r="AN28" s="252" t="s">
        <v>34</v>
      </c>
      <c r="AQ28" s="71">
        <v>2007</v>
      </c>
      <c r="AR28" s="157">
        <v>0</v>
      </c>
      <c r="AS28" s="111"/>
      <c r="AT28" s="76">
        <v>0</v>
      </c>
      <c r="AU28" s="112">
        <v>4.2999999999999997E-2</v>
      </c>
      <c r="AV28" s="180">
        <v>4</v>
      </c>
      <c r="AW28" s="71">
        <v>2007</v>
      </c>
      <c r="AX28" s="111"/>
      <c r="AY28" s="111"/>
      <c r="AZ28" s="117">
        <f t="shared" si="26"/>
        <v>153.25366244477098</v>
      </c>
      <c r="BA28" s="114">
        <f t="shared" si="22"/>
        <v>193.42049451464558</v>
      </c>
      <c r="BB28" s="101"/>
      <c r="BC28" s="115">
        <f t="shared" si="25"/>
        <v>0.79233414654085055</v>
      </c>
    </row>
    <row r="29" spans="2:55" ht="21">
      <c r="B29" s="162">
        <f t="shared" si="9"/>
        <v>2008</v>
      </c>
      <c r="C29" s="386">
        <f t="shared" si="10"/>
        <v>4.1000000000000002E-2</v>
      </c>
      <c r="D29" s="398">
        <v>0.05</v>
      </c>
      <c r="E29" s="399">
        <f t="shared" si="0"/>
        <v>4.1000000000000002E-2</v>
      </c>
      <c r="F29" s="101"/>
      <c r="G29" s="400">
        <f t="shared" si="1"/>
        <v>2.7333333333333334E-2</v>
      </c>
      <c r="H29" s="401">
        <f t="shared" si="2"/>
        <v>3.3333333333333333E-2</v>
      </c>
      <c r="I29" s="402">
        <f t="shared" si="3"/>
        <v>2.7333333333333334E-2</v>
      </c>
      <c r="J29" s="101"/>
      <c r="K29" s="402">
        <f t="shared" si="4"/>
        <v>2.7333333333333334E-2</v>
      </c>
      <c r="L29" s="379">
        <f t="shared" si="11"/>
        <v>17</v>
      </c>
      <c r="M29" s="379">
        <f t="shared" si="12"/>
        <v>23</v>
      </c>
      <c r="N29" s="379">
        <f t="shared" si="13"/>
        <v>2</v>
      </c>
      <c r="O29" s="379">
        <f t="shared" si="14"/>
        <v>2</v>
      </c>
      <c r="P29" s="379">
        <f t="shared" si="15"/>
        <v>2</v>
      </c>
      <c r="Q29" s="404">
        <f t="shared" si="16"/>
        <v>0</v>
      </c>
      <c r="R29" s="416">
        <f t="shared" si="23"/>
        <v>2.3768115942028986E-3</v>
      </c>
      <c r="S29" s="407">
        <f t="shared" si="24"/>
        <v>4.1000000000000002E-2</v>
      </c>
      <c r="V29" s="240">
        <v>2008</v>
      </c>
      <c r="W29" s="405">
        <v>4.1000000000000002E-2</v>
      </c>
      <c r="X29" s="244">
        <f t="shared" si="17"/>
        <v>2.3768115942028986E-3</v>
      </c>
      <c r="AB29" s="81">
        <v>2008</v>
      </c>
      <c r="AC29" s="88">
        <f t="shared" si="7"/>
        <v>2.3768115942028986E-3</v>
      </c>
      <c r="AD29" s="81">
        <v>2008</v>
      </c>
      <c r="AE29" s="82">
        <f t="shared" si="18"/>
        <v>2.3768115942028986E-3</v>
      </c>
      <c r="AF29" s="81">
        <v>2008</v>
      </c>
      <c r="AG29" s="82">
        <f t="shared" si="19"/>
        <v>2.3768115942028986E-3</v>
      </c>
      <c r="AH29" s="81">
        <v>2008</v>
      </c>
      <c r="AI29" s="82">
        <f t="shared" si="20"/>
        <v>2.3768115942028986E-3</v>
      </c>
      <c r="AJ29" s="81">
        <v>2008</v>
      </c>
      <c r="AK29" s="82">
        <f t="shared" si="20"/>
        <v>2.3768115942028986E-3</v>
      </c>
      <c r="AL29" s="87">
        <v>2008</v>
      </c>
      <c r="AM29" s="82">
        <f t="shared" si="20"/>
        <v>2.3768115942028986E-3</v>
      </c>
      <c r="AN29" s="252" t="s">
        <v>34</v>
      </c>
      <c r="AO29" s="96"/>
      <c r="AQ29" s="71">
        <v>2008</v>
      </c>
      <c r="AR29" s="158">
        <v>0.01</v>
      </c>
      <c r="AS29" s="111"/>
      <c r="AT29" s="77">
        <v>0.01</v>
      </c>
      <c r="AU29" s="112">
        <v>0.04</v>
      </c>
      <c r="AV29" s="180">
        <v>0.9</v>
      </c>
      <c r="AW29" s="71">
        <v>2008</v>
      </c>
      <c r="AX29" s="111"/>
      <c r="AY29" s="111"/>
      <c r="AZ29" s="117">
        <f t="shared" si="26"/>
        <v>154.7861990692187</v>
      </c>
      <c r="BA29" s="114">
        <f t="shared" si="22"/>
        <v>201.1573142952314</v>
      </c>
      <c r="BB29" s="101"/>
      <c r="BC29" s="115">
        <f t="shared" si="25"/>
        <v>0.76947835385217223</v>
      </c>
    </row>
    <row r="30" spans="2:55" ht="21">
      <c r="B30" s="162">
        <f t="shared" si="9"/>
        <v>2009</v>
      </c>
      <c r="C30" s="386">
        <f t="shared" si="10"/>
        <v>1E-3</v>
      </c>
      <c r="D30" s="398">
        <v>0.05</v>
      </c>
      <c r="E30" s="399">
        <f t="shared" si="0"/>
        <v>1E-3</v>
      </c>
      <c r="F30" s="101"/>
      <c r="G30" s="400">
        <f t="shared" si="1"/>
        <v>6.6666666666666664E-4</v>
      </c>
      <c r="H30" s="401">
        <f t="shared" si="2"/>
        <v>3.3333333333333333E-2</v>
      </c>
      <c r="I30" s="402">
        <f t="shared" si="3"/>
        <v>6.6666666666666664E-4</v>
      </c>
      <c r="J30" s="101"/>
      <c r="K30" s="402">
        <f t="shared" si="4"/>
        <v>6.6666666666666664E-4</v>
      </c>
      <c r="L30" s="379">
        <f t="shared" si="11"/>
        <v>17</v>
      </c>
      <c r="M30" s="379">
        <f t="shared" si="12"/>
        <v>23</v>
      </c>
      <c r="N30" s="379">
        <f t="shared" si="13"/>
        <v>2</v>
      </c>
      <c r="O30" s="379">
        <f t="shared" si="14"/>
        <v>2</v>
      </c>
      <c r="P30" s="379">
        <f t="shared" si="15"/>
        <v>2</v>
      </c>
      <c r="Q30" s="404">
        <f t="shared" si="16"/>
        <v>0</v>
      </c>
      <c r="R30" s="416">
        <f t="shared" si="23"/>
        <v>5.797101449275362E-5</v>
      </c>
      <c r="S30" s="407">
        <f t="shared" si="24"/>
        <v>1E-3</v>
      </c>
      <c r="V30" s="240">
        <v>2009</v>
      </c>
      <c r="W30" s="405">
        <v>1E-3</v>
      </c>
      <c r="X30" s="244">
        <f t="shared" si="17"/>
        <v>5.797101449275362E-5</v>
      </c>
      <c r="AB30" s="81">
        <v>2009</v>
      </c>
      <c r="AC30" s="88">
        <f t="shared" si="7"/>
        <v>5.797101449275362E-5</v>
      </c>
      <c r="AD30" s="81">
        <v>2009</v>
      </c>
      <c r="AE30" s="82">
        <f t="shared" si="18"/>
        <v>5.797101449275362E-5</v>
      </c>
      <c r="AF30" s="81">
        <v>2009</v>
      </c>
      <c r="AG30" s="82">
        <f t="shared" si="19"/>
        <v>5.797101449275362E-5</v>
      </c>
      <c r="AH30" s="81">
        <v>2009</v>
      </c>
      <c r="AI30" s="82">
        <f t="shared" si="20"/>
        <v>5.797101449275362E-5</v>
      </c>
      <c r="AJ30" s="81">
        <v>2009</v>
      </c>
      <c r="AK30" s="82">
        <f t="shared" si="20"/>
        <v>5.797101449275362E-5</v>
      </c>
      <c r="AL30" s="87">
        <v>2009</v>
      </c>
      <c r="AM30" s="82">
        <f t="shared" si="20"/>
        <v>5.797101449275362E-5</v>
      </c>
      <c r="AN30" s="252" t="s">
        <v>34</v>
      </c>
      <c r="AQ30" s="71">
        <v>2009</v>
      </c>
      <c r="AR30" s="157">
        <v>0</v>
      </c>
      <c r="AS30" s="111"/>
      <c r="AT30" s="76">
        <v>0</v>
      </c>
      <c r="AU30" s="112">
        <v>-5.0000000000000001E-3</v>
      </c>
      <c r="AV30" s="180">
        <v>2.4</v>
      </c>
      <c r="AW30" s="71">
        <v>2009</v>
      </c>
      <c r="AX30" s="111"/>
      <c r="AY30" s="111"/>
      <c r="AZ30" s="117">
        <f t="shared" si="26"/>
        <v>154.7861990692187</v>
      </c>
      <c r="BA30" s="114">
        <f t="shared" si="22"/>
        <v>200.15152772375524</v>
      </c>
      <c r="BB30" s="101"/>
      <c r="BC30" s="115">
        <f t="shared" si="25"/>
        <v>0.77334507924841434</v>
      </c>
    </row>
    <row r="31" spans="2:55" ht="21">
      <c r="B31" s="162">
        <f t="shared" si="9"/>
        <v>2010</v>
      </c>
      <c r="C31" s="386">
        <f t="shared" si="10"/>
        <v>3.6999999999999998E-2</v>
      </c>
      <c r="D31" s="398">
        <v>0.05</v>
      </c>
      <c r="E31" s="399">
        <f t="shared" si="0"/>
        <v>3.6999999999999998E-2</v>
      </c>
      <c r="F31" s="101"/>
      <c r="G31" s="400">
        <f t="shared" si="1"/>
        <v>2.4666666666666667E-2</v>
      </c>
      <c r="H31" s="401">
        <f t="shared" si="2"/>
        <v>3.3333333333333333E-2</v>
      </c>
      <c r="I31" s="402">
        <f t="shared" si="3"/>
        <v>2.4666666666666667E-2</v>
      </c>
      <c r="J31" s="101"/>
      <c r="K31" s="402">
        <f t="shared" si="4"/>
        <v>2.4666666666666667E-2</v>
      </c>
      <c r="L31" s="379">
        <f t="shared" si="11"/>
        <v>17</v>
      </c>
      <c r="M31" s="379">
        <f t="shared" si="12"/>
        <v>23</v>
      </c>
      <c r="N31" s="379">
        <f t="shared" si="13"/>
        <v>2</v>
      </c>
      <c r="O31" s="379">
        <f t="shared" si="14"/>
        <v>2</v>
      </c>
      <c r="P31" s="379">
        <f t="shared" si="15"/>
        <v>2</v>
      </c>
      <c r="Q31" s="404">
        <f t="shared" si="16"/>
        <v>0</v>
      </c>
      <c r="R31" s="416">
        <f t="shared" si="23"/>
        <v>2.144927536231884E-3</v>
      </c>
      <c r="S31" s="407">
        <f t="shared" si="24"/>
        <v>3.6999999999999998E-2</v>
      </c>
      <c r="V31" s="240">
        <v>2010</v>
      </c>
      <c r="W31" s="405">
        <v>3.6999999999999998E-2</v>
      </c>
      <c r="X31" s="244">
        <f t="shared" si="17"/>
        <v>2.144927536231884E-3</v>
      </c>
      <c r="AB31" s="81">
        <v>2010</v>
      </c>
      <c r="AC31" s="88">
        <f t="shared" si="7"/>
        <v>2.144927536231884E-3</v>
      </c>
      <c r="AD31" s="81">
        <v>2010</v>
      </c>
      <c r="AE31" s="82">
        <f t="shared" si="18"/>
        <v>2.144927536231884E-3</v>
      </c>
      <c r="AF31" s="81">
        <v>2010</v>
      </c>
      <c r="AG31" s="82">
        <f t="shared" si="19"/>
        <v>2.144927536231884E-3</v>
      </c>
      <c r="AH31" s="81">
        <v>2010</v>
      </c>
      <c r="AI31" s="82">
        <f t="shared" si="20"/>
        <v>2.144927536231884E-3</v>
      </c>
      <c r="AJ31" s="81">
        <v>2010</v>
      </c>
      <c r="AK31" s="82">
        <f t="shared" si="20"/>
        <v>2.144927536231884E-3</v>
      </c>
      <c r="AL31" s="87">
        <v>2010</v>
      </c>
      <c r="AM31" s="82">
        <f t="shared" si="20"/>
        <v>2.144927536231884E-3</v>
      </c>
      <c r="AN31" s="252" t="s">
        <v>34</v>
      </c>
      <c r="AQ31" s="71">
        <v>2010</v>
      </c>
      <c r="AR31" s="157">
        <v>0</v>
      </c>
      <c r="AS31" s="111"/>
      <c r="AT31" s="76">
        <v>0</v>
      </c>
      <c r="AU31" s="112">
        <v>4.5999999999999999E-2</v>
      </c>
      <c r="AV31" s="180">
        <v>4.8</v>
      </c>
      <c r="AW31" s="71">
        <v>2010</v>
      </c>
      <c r="AX31" s="111"/>
      <c r="AY31" s="111"/>
      <c r="AZ31" s="117">
        <f t="shared" si="26"/>
        <v>154.7861990692187</v>
      </c>
      <c r="BA31" s="114">
        <f t="shared" si="22"/>
        <v>209.35849799904798</v>
      </c>
      <c r="BB31" s="101"/>
      <c r="BC31" s="115">
        <f t="shared" si="25"/>
        <v>0.7393356398168397</v>
      </c>
    </row>
    <row r="32" spans="2:55" ht="21">
      <c r="B32" s="162">
        <f t="shared" si="9"/>
        <v>2011</v>
      </c>
      <c r="C32" s="386">
        <f t="shared" si="10"/>
        <v>5.1999999999999998E-2</v>
      </c>
      <c r="D32" s="398">
        <v>0.05</v>
      </c>
      <c r="E32" s="399">
        <f t="shared" si="0"/>
        <v>0.05</v>
      </c>
      <c r="F32" s="101"/>
      <c r="G32" s="400">
        <f t="shared" si="1"/>
        <v>3.4666666666666665E-2</v>
      </c>
      <c r="H32" s="401">
        <f t="shared" si="2"/>
        <v>3.3333333333333333E-2</v>
      </c>
      <c r="I32" s="402">
        <f t="shared" si="3"/>
        <v>3.3333333333333333E-2</v>
      </c>
      <c r="J32" s="101"/>
      <c r="K32" s="402">
        <f t="shared" si="4"/>
        <v>3.3333333333333333E-2</v>
      </c>
      <c r="L32" s="379">
        <f t="shared" si="11"/>
        <v>17</v>
      </c>
      <c r="M32" s="379">
        <f t="shared" si="12"/>
        <v>23</v>
      </c>
      <c r="N32" s="379">
        <f t="shared" si="13"/>
        <v>2</v>
      </c>
      <c r="O32" s="379">
        <f t="shared" si="14"/>
        <v>2</v>
      </c>
      <c r="P32" s="379">
        <f t="shared" si="15"/>
        <v>2</v>
      </c>
      <c r="Q32" s="404">
        <f t="shared" si="16"/>
        <v>0</v>
      </c>
      <c r="R32" s="416">
        <f t="shared" si="23"/>
        <v>2.8985507246376812E-3</v>
      </c>
      <c r="S32" s="407">
        <f t="shared" si="24"/>
        <v>0.05</v>
      </c>
      <c r="V32" s="240">
        <v>2011</v>
      </c>
      <c r="W32" s="405">
        <v>5.1999999999999998E-2</v>
      </c>
      <c r="X32" s="244">
        <f t="shared" si="17"/>
        <v>2.8985507246376812E-3</v>
      </c>
      <c r="AB32" s="81">
        <v>2011</v>
      </c>
      <c r="AC32" s="88">
        <f t="shared" si="7"/>
        <v>2.8985507246376812E-3</v>
      </c>
      <c r="AD32" s="81">
        <v>2011</v>
      </c>
      <c r="AE32" s="82">
        <f t="shared" si="18"/>
        <v>2.8985507246376812E-3</v>
      </c>
      <c r="AF32" s="81">
        <v>2011</v>
      </c>
      <c r="AG32" s="82">
        <f t="shared" si="19"/>
        <v>2.8985507246376812E-3</v>
      </c>
      <c r="AH32" s="81">
        <v>2011</v>
      </c>
      <c r="AI32" s="82">
        <f t="shared" si="20"/>
        <v>2.8985507246376812E-3</v>
      </c>
      <c r="AJ32" s="81">
        <v>2011</v>
      </c>
      <c r="AK32" s="82">
        <f t="shared" si="20"/>
        <v>2.8985507246376812E-3</v>
      </c>
      <c r="AL32" s="87">
        <v>2011</v>
      </c>
      <c r="AM32" s="82">
        <f t="shared" si="20"/>
        <v>2.8985507246376812E-3</v>
      </c>
      <c r="AN32" s="252" t="s">
        <v>34</v>
      </c>
      <c r="AQ32" s="71">
        <v>2011</v>
      </c>
      <c r="AR32" s="157">
        <v>0</v>
      </c>
      <c r="AS32" s="111"/>
      <c r="AT32" s="76">
        <v>0</v>
      </c>
      <c r="AU32" s="112">
        <v>4.5999999999999999E-2</v>
      </c>
      <c r="AV32" s="180">
        <v>4.8</v>
      </c>
      <c r="AW32" s="71">
        <v>2011</v>
      </c>
      <c r="AX32" s="118"/>
      <c r="AY32" s="111"/>
      <c r="AZ32" s="117">
        <f>AZ30*(1+AT32)</f>
        <v>154.7861990692187</v>
      </c>
      <c r="BA32" s="114">
        <f t="shared" si="22"/>
        <v>218.9889889070042</v>
      </c>
      <c r="BB32" s="111"/>
      <c r="BC32" s="115">
        <f t="shared" si="25"/>
        <v>0.70682183538894805</v>
      </c>
    </row>
    <row r="33" spans="2:56" ht="21">
      <c r="B33" s="162">
        <f t="shared" si="9"/>
        <v>2012</v>
      </c>
      <c r="C33" s="386">
        <f t="shared" si="10"/>
        <v>3.9E-2</v>
      </c>
      <c r="D33" s="398">
        <v>0.05</v>
      </c>
      <c r="E33" s="399">
        <f t="shared" si="0"/>
        <v>3.9E-2</v>
      </c>
      <c r="F33" s="101"/>
      <c r="G33" s="400">
        <f t="shared" si="1"/>
        <v>2.5999999999999999E-2</v>
      </c>
      <c r="H33" s="401">
        <f t="shared" si="2"/>
        <v>3.3333333333333333E-2</v>
      </c>
      <c r="I33" s="402">
        <f t="shared" si="3"/>
        <v>2.5999999999999999E-2</v>
      </c>
      <c r="J33" s="101"/>
      <c r="K33" s="402">
        <f t="shared" si="4"/>
        <v>2.5999999999999999E-2</v>
      </c>
      <c r="L33" s="379">
        <f t="shared" si="11"/>
        <v>17</v>
      </c>
      <c r="M33" s="379">
        <f t="shared" si="12"/>
        <v>23</v>
      </c>
      <c r="N33" s="379">
        <f t="shared" si="13"/>
        <v>2</v>
      </c>
      <c r="O33" s="379">
        <f t="shared" si="14"/>
        <v>2</v>
      </c>
      <c r="P33" s="379">
        <f t="shared" si="15"/>
        <v>2</v>
      </c>
      <c r="Q33" s="404">
        <f t="shared" si="16"/>
        <v>0</v>
      </c>
      <c r="R33" s="416">
        <f t="shared" si="23"/>
        <v>2.2608695652173911E-3</v>
      </c>
      <c r="S33" s="407">
        <f t="shared" si="24"/>
        <v>3.9E-2</v>
      </c>
      <c r="V33" s="240">
        <v>2012</v>
      </c>
      <c r="W33" s="405">
        <v>3.9E-2</v>
      </c>
      <c r="X33" s="244">
        <f t="shared" si="17"/>
        <v>2.2608695652173911E-3</v>
      </c>
      <c r="AB33" s="81">
        <v>2012</v>
      </c>
      <c r="AC33" s="88">
        <f t="shared" si="7"/>
        <v>2.2608695652173911E-3</v>
      </c>
      <c r="AD33" s="81">
        <v>2012</v>
      </c>
      <c r="AE33" s="82">
        <f t="shared" si="18"/>
        <v>2.2608695652173911E-3</v>
      </c>
      <c r="AF33" s="81">
        <v>2012</v>
      </c>
      <c r="AG33" s="82">
        <f t="shared" si="19"/>
        <v>2.2608695652173911E-3</v>
      </c>
      <c r="AH33" s="81">
        <v>2012</v>
      </c>
      <c r="AI33" s="82">
        <f t="shared" si="20"/>
        <v>2.2608695652173911E-3</v>
      </c>
      <c r="AJ33" s="81">
        <v>2012</v>
      </c>
      <c r="AK33" s="82">
        <f t="shared" si="20"/>
        <v>2.2608695652173911E-3</v>
      </c>
      <c r="AL33" s="87">
        <v>2012</v>
      </c>
      <c r="AM33" s="82">
        <f t="shared" si="20"/>
        <v>2.2608695652173911E-3</v>
      </c>
      <c r="AN33" s="252" t="s">
        <v>34</v>
      </c>
      <c r="AQ33" s="71">
        <v>2012</v>
      </c>
      <c r="AR33" s="157">
        <v>0</v>
      </c>
      <c r="AS33" s="111"/>
      <c r="AT33" s="76">
        <v>0</v>
      </c>
      <c r="AU33" s="112">
        <v>3.5000000000000003E-2</v>
      </c>
      <c r="AV33" s="180">
        <v>3.1</v>
      </c>
      <c r="AW33" s="71">
        <v>2012</v>
      </c>
      <c r="AX33" s="111"/>
      <c r="AY33" s="111"/>
      <c r="AZ33" s="117">
        <f>AZ30*(1+AT33)</f>
        <v>154.7861990692187</v>
      </c>
      <c r="BA33" s="114">
        <f t="shared" si="22"/>
        <v>226.65360351874932</v>
      </c>
      <c r="BB33" s="111"/>
      <c r="BC33" s="115">
        <f t="shared" si="25"/>
        <v>0.68291964771879043</v>
      </c>
    </row>
    <row r="34" spans="2:56" ht="21">
      <c r="B34" s="162">
        <f t="shared" si="9"/>
        <v>2013</v>
      </c>
      <c r="C34" s="386">
        <f t="shared" si="10"/>
        <v>3.3000000000000002E-2</v>
      </c>
      <c r="D34" s="398">
        <v>0.05</v>
      </c>
      <c r="E34" s="399">
        <f t="shared" si="0"/>
        <v>3.3000000000000002E-2</v>
      </c>
      <c r="F34" s="101"/>
      <c r="G34" s="400">
        <f t="shared" si="1"/>
        <v>2.2000000000000002E-2</v>
      </c>
      <c r="H34" s="401">
        <f t="shared" si="2"/>
        <v>3.3333333333333333E-2</v>
      </c>
      <c r="I34" s="402">
        <f t="shared" si="3"/>
        <v>2.2000000000000002E-2</v>
      </c>
      <c r="J34" s="101"/>
      <c r="K34" s="402">
        <f t="shared" si="4"/>
        <v>2.2000000000000002E-2</v>
      </c>
      <c r="L34" s="379">
        <f t="shared" si="11"/>
        <v>17</v>
      </c>
      <c r="M34" s="379">
        <f t="shared" si="12"/>
        <v>23</v>
      </c>
      <c r="N34" s="379">
        <f t="shared" si="13"/>
        <v>2</v>
      </c>
      <c r="O34" s="379">
        <f t="shared" si="14"/>
        <v>2</v>
      </c>
      <c r="P34" s="379">
        <f t="shared" si="15"/>
        <v>2</v>
      </c>
      <c r="Q34" s="404">
        <f t="shared" si="16"/>
        <v>0</v>
      </c>
      <c r="R34" s="416">
        <f t="shared" si="23"/>
        <v>1.9130434782608696E-3</v>
      </c>
      <c r="S34" s="407">
        <f t="shared" si="24"/>
        <v>3.3000000000000002E-2</v>
      </c>
      <c r="V34" s="240">
        <v>2013</v>
      </c>
      <c r="W34" s="405">
        <v>3.3000000000000002E-2</v>
      </c>
      <c r="X34" s="244">
        <f t="shared" si="17"/>
        <v>1.9130434782608696E-3</v>
      </c>
      <c r="AB34" s="81">
        <v>2013</v>
      </c>
      <c r="AC34" s="88">
        <f t="shared" si="7"/>
        <v>1.9130434782608696E-3</v>
      </c>
      <c r="AD34" s="81">
        <v>2013</v>
      </c>
      <c r="AE34" s="82">
        <f t="shared" si="18"/>
        <v>1.9130434782608696E-3</v>
      </c>
      <c r="AF34" s="81">
        <v>2013</v>
      </c>
      <c r="AG34" s="82">
        <f t="shared" si="19"/>
        <v>1.9130434782608696E-3</v>
      </c>
      <c r="AH34" s="81">
        <v>2013</v>
      </c>
      <c r="AI34" s="82">
        <f t="shared" si="20"/>
        <v>1.9130434782608696E-3</v>
      </c>
      <c r="AJ34" s="81">
        <v>2013</v>
      </c>
      <c r="AK34" s="82">
        <f t="shared" si="20"/>
        <v>1.9130434782608696E-3</v>
      </c>
      <c r="AL34" s="87">
        <v>2013</v>
      </c>
      <c r="AM34" s="82">
        <f t="shared" si="20"/>
        <v>1.9130434782608696E-3</v>
      </c>
      <c r="AN34" s="252" t="s">
        <v>34</v>
      </c>
      <c r="AQ34" s="71">
        <v>2013</v>
      </c>
      <c r="AR34" s="157">
        <v>0</v>
      </c>
      <c r="AS34" s="111"/>
      <c r="AT34" s="76">
        <v>0</v>
      </c>
      <c r="AU34" s="112">
        <v>3.1E-2</v>
      </c>
      <c r="AV34" s="180">
        <v>2.7</v>
      </c>
      <c r="AW34" s="71">
        <v>2013</v>
      </c>
      <c r="AX34" s="111"/>
      <c r="AY34" s="111"/>
      <c r="AZ34" s="117">
        <f>AZ31*(1+AT39)</f>
        <v>154.7861990692187</v>
      </c>
      <c r="BA34" s="114">
        <f t="shared" si="22"/>
        <v>233.67986522783053</v>
      </c>
      <c r="BB34" s="111"/>
      <c r="BC34" s="115">
        <f t="shared" si="25"/>
        <v>0.66238569128883662</v>
      </c>
    </row>
    <row r="35" spans="2:56" ht="21">
      <c r="B35" s="162">
        <f t="shared" si="9"/>
        <v>2014</v>
      </c>
      <c r="C35" s="386">
        <f t="shared" si="10"/>
        <v>2.8000000000000001E-2</v>
      </c>
      <c r="D35" s="398">
        <v>0.05</v>
      </c>
      <c r="E35" s="399">
        <f t="shared" si="0"/>
        <v>2.8000000000000001E-2</v>
      </c>
      <c r="F35" s="101"/>
      <c r="G35" s="400">
        <f t="shared" si="1"/>
        <v>1.8666666666666668E-2</v>
      </c>
      <c r="H35" s="401">
        <f t="shared" si="2"/>
        <v>3.3333333333333333E-2</v>
      </c>
      <c r="I35" s="402">
        <f t="shared" si="3"/>
        <v>1.8666666666666668E-2</v>
      </c>
      <c r="J35" s="101"/>
      <c r="K35" s="402">
        <f t="shared" si="4"/>
        <v>1.8666666666666668E-2</v>
      </c>
      <c r="L35" s="379">
        <f t="shared" si="11"/>
        <v>17</v>
      </c>
      <c r="M35" s="379">
        <f t="shared" si="12"/>
        <v>23</v>
      </c>
      <c r="N35" s="379">
        <f t="shared" si="13"/>
        <v>2</v>
      </c>
      <c r="O35" s="379">
        <f t="shared" si="14"/>
        <v>2</v>
      </c>
      <c r="P35" s="379">
        <f t="shared" si="15"/>
        <v>2</v>
      </c>
      <c r="Q35" s="404">
        <f t="shared" si="16"/>
        <v>0</v>
      </c>
      <c r="R35" s="416">
        <f t="shared" si="23"/>
        <v>1.6231884057971015E-3</v>
      </c>
      <c r="S35" s="407">
        <f t="shared" si="24"/>
        <v>2.8000000000000001E-2</v>
      </c>
      <c r="V35" s="240">
        <v>2014</v>
      </c>
      <c r="W35" s="405">
        <v>2.8000000000000001E-2</v>
      </c>
      <c r="X35" s="244">
        <f t="shared" si="17"/>
        <v>1.6231884057971015E-3</v>
      </c>
      <c r="AB35" s="81">
        <v>2014</v>
      </c>
      <c r="AC35" s="88">
        <f t="shared" si="7"/>
        <v>1.6231884057971015E-3</v>
      </c>
      <c r="AD35" s="81">
        <v>2014</v>
      </c>
      <c r="AE35" s="82">
        <f t="shared" si="18"/>
        <v>1.6231884057971015E-3</v>
      </c>
      <c r="AF35" s="81">
        <v>2014</v>
      </c>
      <c r="AG35" s="82">
        <f t="shared" si="19"/>
        <v>1.6231884057971015E-3</v>
      </c>
      <c r="AH35" s="81">
        <v>2014</v>
      </c>
      <c r="AI35" s="82">
        <f t="shared" si="20"/>
        <v>1.6231884057971015E-3</v>
      </c>
      <c r="AJ35" s="81">
        <v>2014</v>
      </c>
      <c r="AK35" s="82">
        <f t="shared" si="20"/>
        <v>1.6231884057971015E-3</v>
      </c>
      <c r="AL35" s="87">
        <v>2014</v>
      </c>
      <c r="AM35" s="82">
        <f t="shared" si="20"/>
        <v>1.6231884057971015E-3</v>
      </c>
      <c r="AN35" s="252" t="s">
        <v>34</v>
      </c>
      <c r="AQ35" s="71">
        <v>2014</v>
      </c>
      <c r="AR35" s="157">
        <v>0</v>
      </c>
      <c r="AS35" s="111"/>
      <c r="AT35" s="76">
        <v>0</v>
      </c>
      <c r="AU35" s="112">
        <v>2.4E-2</v>
      </c>
      <c r="AV35" s="180">
        <v>1.6</v>
      </c>
      <c r="AW35" s="71">
        <v>2014</v>
      </c>
      <c r="AX35" s="111"/>
      <c r="AY35" s="111"/>
      <c r="AZ35" s="117">
        <f>AZ32*(1+AT35)</f>
        <v>154.7861990692187</v>
      </c>
      <c r="BA35" s="114">
        <f t="shared" si="22"/>
        <v>239.28818199329848</v>
      </c>
      <c r="BB35" s="111"/>
      <c r="BC35" s="115">
        <f t="shared" si="25"/>
        <v>0.64686102664925449</v>
      </c>
    </row>
    <row r="36" spans="2:56" ht="21">
      <c r="B36" s="162">
        <f t="shared" si="9"/>
        <v>2015</v>
      </c>
      <c r="C36" s="386">
        <f t="shared" si="10"/>
        <v>1.0999999999999999E-2</v>
      </c>
      <c r="D36" s="398">
        <v>0.05</v>
      </c>
      <c r="E36" s="399">
        <f t="shared" si="0"/>
        <v>1.0999999999999999E-2</v>
      </c>
      <c r="F36" s="101"/>
      <c r="G36" s="400">
        <f t="shared" si="1"/>
        <v>7.3333333333333332E-3</v>
      </c>
      <c r="H36" s="401">
        <f t="shared" si="2"/>
        <v>3.3333333333333333E-2</v>
      </c>
      <c r="I36" s="402">
        <f t="shared" si="3"/>
        <v>7.3333333333333332E-3</v>
      </c>
      <c r="J36" s="101"/>
      <c r="K36" s="402">
        <f t="shared" si="4"/>
        <v>7.3333333333333332E-3</v>
      </c>
      <c r="L36" s="379">
        <f t="shared" si="11"/>
        <v>17</v>
      </c>
      <c r="M36" s="379">
        <f t="shared" si="12"/>
        <v>23</v>
      </c>
      <c r="N36" s="379">
        <f t="shared" si="13"/>
        <v>2</v>
      </c>
      <c r="O36" s="379">
        <f t="shared" si="14"/>
        <v>2</v>
      </c>
      <c r="P36" s="379">
        <f t="shared" si="15"/>
        <v>2</v>
      </c>
      <c r="Q36" s="404">
        <f t="shared" si="16"/>
        <v>0</v>
      </c>
      <c r="R36" s="416">
        <f t="shared" si="23"/>
        <v>6.3768115942028987E-4</v>
      </c>
      <c r="S36" s="407">
        <f t="shared" si="24"/>
        <v>1.0999999999999999E-2</v>
      </c>
      <c r="V36" s="240">
        <v>2015</v>
      </c>
      <c r="W36" s="405">
        <v>1.0999999999999999E-2</v>
      </c>
      <c r="X36" s="244">
        <f t="shared" si="17"/>
        <v>6.3768115942028987E-4</v>
      </c>
      <c r="AB36" s="83">
        <v>2015</v>
      </c>
      <c r="AC36" s="88">
        <f t="shared" si="7"/>
        <v>6.3768115942028987E-4</v>
      </c>
      <c r="AD36" s="83">
        <v>2015</v>
      </c>
      <c r="AE36" s="82">
        <f t="shared" si="18"/>
        <v>6.3768115942028987E-4</v>
      </c>
      <c r="AF36" s="83">
        <v>2015</v>
      </c>
      <c r="AG36" s="82">
        <f t="shared" si="19"/>
        <v>6.3768115942028987E-4</v>
      </c>
      <c r="AH36" s="83">
        <v>2015</v>
      </c>
      <c r="AI36" s="82">
        <f t="shared" si="20"/>
        <v>6.3768115942028987E-4</v>
      </c>
      <c r="AJ36" s="83">
        <v>2015</v>
      </c>
      <c r="AK36" s="82">
        <f t="shared" si="20"/>
        <v>6.3768115942028987E-4</v>
      </c>
      <c r="AL36" s="87">
        <v>2015</v>
      </c>
      <c r="AM36" s="82">
        <f t="shared" si="20"/>
        <v>6.3768115942028987E-4</v>
      </c>
      <c r="AN36" s="252" t="s">
        <v>34</v>
      </c>
      <c r="AQ36" s="72">
        <v>2015</v>
      </c>
      <c r="AR36" s="158">
        <v>0</v>
      </c>
      <c r="AS36" s="111"/>
      <c r="AT36" s="78">
        <v>0</v>
      </c>
      <c r="AU36" s="112">
        <v>0.01</v>
      </c>
      <c r="AV36" s="180">
        <v>1.2</v>
      </c>
      <c r="AW36" s="71">
        <v>2015</v>
      </c>
      <c r="AX36" s="111"/>
      <c r="AY36" s="111"/>
      <c r="AZ36" s="117">
        <f>AZ32*(1+AT40)</f>
        <v>154.7861990692187</v>
      </c>
      <c r="BA36" s="114">
        <f>BA34*(1+AU36)</f>
        <v>236.01666388010884</v>
      </c>
      <c r="BB36" s="111"/>
      <c r="BC36" s="115">
        <f t="shared" si="25"/>
        <v>0.65582741711766002</v>
      </c>
    </row>
    <row r="37" spans="2:56" ht="21">
      <c r="B37" s="162">
        <f t="shared" si="9"/>
        <v>2016</v>
      </c>
      <c r="C37" s="386">
        <f t="shared" si="10"/>
        <v>1.2999999999999999E-2</v>
      </c>
      <c r="D37" s="398">
        <v>0.05</v>
      </c>
      <c r="E37" s="399">
        <f t="shared" si="0"/>
        <v>1.2999999999999999E-2</v>
      </c>
      <c r="F37" s="101"/>
      <c r="G37" s="400">
        <f t="shared" si="1"/>
        <v>8.6666666666666663E-3</v>
      </c>
      <c r="H37" s="401">
        <f t="shared" si="2"/>
        <v>3.3333333333333333E-2</v>
      </c>
      <c r="I37" s="402">
        <f t="shared" si="3"/>
        <v>8.6666666666666663E-3</v>
      </c>
      <c r="J37" s="101"/>
      <c r="K37" s="402">
        <f t="shared" si="4"/>
        <v>8.6666666666666663E-3</v>
      </c>
      <c r="L37" s="379">
        <f t="shared" si="11"/>
        <v>17</v>
      </c>
      <c r="M37" s="379">
        <f t="shared" si="12"/>
        <v>23</v>
      </c>
      <c r="N37" s="379">
        <f t="shared" si="13"/>
        <v>2</v>
      </c>
      <c r="O37" s="379">
        <f t="shared" si="14"/>
        <v>2</v>
      </c>
      <c r="P37" s="379">
        <f t="shared" si="15"/>
        <v>2</v>
      </c>
      <c r="Q37" s="404">
        <f t="shared" si="16"/>
        <v>0</v>
      </c>
      <c r="R37" s="416">
        <f t="shared" si="23"/>
        <v>7.5362318840579707E-4</v>
      </c>
      <c r="S37" s="407">
        <f t="shared" si="24"/>
        <v>1.2999999999999999E-2</v>
      </c>
      <c r="V37" s="240">
        <v>2016</v>
      </c>
      <c r="W37" s="405">
        <v>1.2999999999999999E-2</v>
      </c>
      <c r="X37" s="244">
        <f t="shared" si="17"/>
        <v>7.5362318840579707E-4</v>
      </c>
      <c r="AB37" s="83">
        <v>2016</v>
      </c>
      <c r="AC37" s="88">
        <f t="shared" si="7"/>
        <v>7.5362318840579707E-4</v>
      </c>
      <c r="AD37" s="83">
        <v>2016</v>
      </c>
      <c r="AE37" s="82">
        <f t="shared" si="18"/>
        <v>7.5362318840579707E-4</v>
      </c>
      <c r="AF37" s="83">
        <v>2016</v>
      </c>
      <c r="AG37" s="82">
        <f t="shared" si="19"/>
        <v>7.5362318840579707E-4</v>
      </c>
      <c r="AH37" s="83">
        <v>2016</v>
      </c>
      <c r="AI37" s="82">
        <f t="shared" si="20"/>
        <v>7.5362318840579707E-4</v>
      </c>
      <c r="AJ37" s="83">
        <v>2016</v>
      </c>
      <c r="AK37" s="82">
        <f t="shared" si="20"/>
        <v>7.5362318840579707E-4</v>
      </c>
      <c r="AL37" s="87">
        <v>2016</v>
      </c>
      <c r="AM37" s="82">
        <f t="shared" si="20"/>
        <v>7.5362318840579707E-4</v>
      </c>
      <c r="AN37" s="252" t="s">
        <v>34</v>
      </c>
      <c r="AQ37" s="73">
        <v>2016</v>
      </c>
      <c r="AR37" s="158">
        <v>0</v>
      </c>
      <c r="AS37" s="111"/>
      <c r="AT37" s="78">
        <v>0</v>
      </c>
      <c r="AU37" s="112">
        <v>1.2999999999999999E-2</v>
      </c>
      <c r="AV37" s="180">
        <v>2.5</v>
      </c>
      <c r="AW37" s="71">
        <v>2016</v>
      </c>
      <c r="AX37" s="111"/>
      <c r="AY37" s="111"/>
      <c r="AZ37" s="117">
        <f>AZ34*(1+AT37)</f>
        <v>154.7861990692187</v>
      </c>
      <c r="BA37" s="114">
        <f>BA36*(1+AU37)</f>
        <v>239.08488051055022</v>
      </c>
      <c r="BB37" s="111"/>
      <c r="BC37" s="115">
        <f t="shared" si="25"/>
        <v>0.6474110731664956</v>
      </c>
    </row>
    <row r="38" spans="2:56" ht="21">
      <c r="B38" s="162">
        <f t="shared" si="9"/>
        <v>2017</v>
      </c>
      <c r="C38" s="386">
        <f t="shared" si="10"/>
        <v>2.5999999999999999E-2</v>
      </c>
      <c r="D38" s="398">
        <v>0.05</v>
      </c>
      <c r="E38" s="399">
        <f t="shared" si="0"/>
        <v>2.5999999999999999E-2</v>
      </c>
      <c r="F38" s="101"/>
      <c r="G38" s="400">
        <f t="shared" si="1"/>
        <v>1.7333333333333333E-2</v>
      </c>
      <c r="H38" s="401">
        <f t="shared" si="2"/>
        <v>3.3333333333333333E-2</v>
      </c>
      <c r="I38" s="402">
        <f t="shared" si="3"/>
        <v>1.7333333333333333E-2</v>
      </c>
      <c r="J38" s="101"/>
      <c r="K38" s="402">
        <f t="shared" si="4"/>
        <v>1.7333333333333333E-2</v>
      </c>
      <c r="L38" s="379">
        <f t="shared" si="11"/>
        <v>17</v>
      </c>
      <c r="M38" s="379">
        <f t="shared" si="12"/>
        <v>23</v>
      </c>
      <c r="N38" s="379">
        <f t="shared" si="13"/>
        <v>2</v>
      </c>
      <c r="O38" s="379">
        <f t="shared" si="14"/>
        <v>2</v>
      </c>
      <c r="P38" s="379">
        <f t="shared" si="15"/>
        <v>2</v>
      </c>
      <c r="Q38" s="404">
        <f t="shared" si="16"/>
        <v>0</v>
      </c>
      <c r="R38" s="416">
        <f t="shared" si="23"/>
        <v>1.5072463768115941E-3</v>
      </c>
      <c r="S38" s="407">
        <f t="shared" si="24"/>
        <v>2.5999999999999999E-2</v>
      </c>
      <c r="V38" s="240">
        <v>2017</v>
      </c>
      <c r="W38" s="405">
        <v>2.5999999999999999E-2</v>
      </c>
      <c r="X38" s="244">
        <f t="shared" si="17"/>
        <v>1.5072463768115941E-3</v>
      </c>
      <c r="AB38" s="83">
        <v>2017</v>
      </c>
      <c r="AC38" s="88">
        <f t="shared" si="7"/>
        <v>1.5072463768115941E-3</v>
      </c>
      <c r="AD38" s="83">
        <v>2017</v>
      </c>
      <c r="AE38" s="82">
        <f t="shared" si="18"/>
        <v>1.5072463768115941E-3</v>
      </c>
      <c r="AF38" s="83">
        <v>2017</v>
      </c>
      <c r="AG38" s="82">
        <f t="shared" si="19"/>
        <v>1.5072463768115941E-3</v>
      </c>
      <c r="AH38" s="83">
        <v>2017</v>
      </c>
      <c r="AI38" s="82">
        <f t="shared" si="20"/>
        <v>1.5072463768115941E-3</v>
      </c>
      <c r="AJ38" s="83">
        <v>2017</v>
      </c>
      <c r="AK38" s="82">
        <f t="shared" si="20"/>
        <v>1.5072463768115941E-3</v>
      </c>
      <c r="AL38" s="87">
        <v>2017</v>
      </c>
      <c r="AM38" s="82">
        <f t="shared" si="20"/>
        <v>1.5072463768115941E-3</v>
      </c>
      <c r="AN38" s="252" t="s">
        <v>34</v>
      </c>
      <c r="AQ38" s="73">
        <v>2017</v>
      </c>
      <c r="AR38" s="158">
        <v>0</v>
      </c>
      <c r="AS38" s="111"/>
      <c r="AT38" s="78">
        <v>0</v>
      </c>
      <c r="AU38" s="112">
        <v>3.5999999999999997E-2</v>
      </c>
      <c r="AV38" s="180">
        <v>4.0999999999999996</v>
      </c>
      <c r="AW38" s="71">
        <v>2017</v>
      </c>
      <c r="AX38" s="111"/>
      <c r="AY38" s="111"/>
      <c r="AZ38" s="117">
        <f>AZ34*(1+AT42)</f>
        <v>154.7861990692187</v>
      </c>
      <c r="BA38" s="114">
        <f>BA36*(1+AU38)</f>
        <v>244.51326377979277</v>
      </c>
      <c r="BB38" s="111"/>
      <c r="BC38" s="115">
        <f t="shared" si="25"/>
        <v>0.63303804741086867</v>
      </c>
    </row>
    <row r="39" spans="2:56" ht="21">
      <c r="B39" s="162">
        <f t="shared" si="9"/>
        <v>2018</v>
      </c>
      <c r="C39" s="386">
        <f t="shared" si="10"/>
        <v>0.04</v>
      </c>
      <c r="D39" s="398">
        <v>0.05</v>
      </c>
      <c r="E39" s="399">
        <f t="shared" si="0"/>
        <v>0.04</v>
      </c>
      <c r="F39" s="101"/>
      <c r="G39" s="400">
        <f t="shared" si="1"/>
        <v>2.6666666666666668E-2</v>
      </c>
      <c r="H39" s="401">
        <f t="shared" si="2"/>
        <v>3.3333333333333333E-2</v>
      </c>
      <c r="I39" s="402">
        <f t="shared" si="3"/>
        <v>2.6666666666666668E-2</v>
      </c>
      <c r="J39" s="101"/>
      <c r="K39" s="402">
        <f t="shared" si="4"/>
        <v>2.6666666666666668E-2</v>
      </c>
      <c r="L39" s="379">
        <f t="shared" si="11"/>
        <v>17</v>
      </c>
      <c r="M39" s="379">
        <f t="shared" si="12"/>
        <v>23</v>
      </c>
      <c r="N39" s="379">
        <f t="shared" si="13"/>
        <v>2</v>
      </c>
      <c r="O39" s="379">
        <f t="shared" si="14"/>
        <v>2</v>
      </c>
      <c r="P39" s="379">
        <f t="shared" si="15"/>
        <v>2</v>
      </c>
      <c r="Q39" s="404">
        <f t="shared" si="16"/>
        <v>0</v>
      </c>
      <c r="R39" s="416">
        <f t="shared" si="23"/>
        <v>2.3188405797101449E-3</v>
      </c>
      <c r="S39" s="407">
        <f t="shared" si="24"/>
        <v>0.04</v>
      </c>
      <c r="V39" s="240">
        <v>2018</v>
      </c>
      <c r="W39" s="406">
        <v>0.04</v>
      </c>
      <c r="X39" s="244">
        <f t="shared" si="17"/>
        <v>2.3188405797101449E-3</v>
      </c>
      <c r="AB39" s="83">
        <v>2018</v>
      </c>
      <c r="AC39" s="88">
        <f t="shared" si="7"/>
        <v>2.3188405797101449E-3</v>
      </c>
      <c r="AD39" s="83">
        <v>2018</v>
      </c>
      <c r="AE39" s="82">
        <f t="shared" si="18"/>
        <v>2.3188405797101449E-3</v>
      </c>
      <c r="AF39" s="83">
        <v>2018</v>
      </c>
      <c r="AG39" s="82">
        <f t="shared" si="19"/>
        <v>2.3188405797101449E-3</v>
      </c>
      <c r="AH39" s="83">
        <v>2018</v>
      </c>
      <c r="AI39" s="82">
        <f t="shared" si="20"/>
        <v>2.3188405797101449E-3</v>
      </c>
      <c r="AJ39" s="83">
        <v>2018</v>
      </c>
      <c r="AK39" s="82">
        <f t="shared" si="20"/>
        <v>2.3188405797101449E-3</v>
      </c>
      <c r="AL39" s="87">
        <v>2018</v>
      </c>
      <c r="AM39" s="82">
        <f t="shared" si="20"/>
        <v>2.3188405797101449E-3</v>
      </c>
      <c r="AN39" s="252" t="s">
        <v>34</v>
      </c>
      <c r="AQ39" s="74">
        <v>2018</v>
      </c>
      <c r="AR39" s="159">
        <v>0</v>
      </c>
      <c r="AS39" s="119"/>
      <c r="AT39" s="79">
        <v>0</v>
      </c>
      <c r="AU39" s="120">
        <v>0.03</v>
      </c>
      <c r="AV39" s="180">
        <v>2.7</v>
      </c>
      <c r="AW39" s="121">
        <v>2018</v>
      </c>
      <c r="AX39" s="119"/>
      <c r="AY39" s="119"/>
      <c r="AZ39" s="122">
        <f>AZ36*(1+AT39)</f>
        <v>154.7861990692187</v>
      </c>
      <c r="BA39" s="123">
        <f>BA38*(1+AU39)</f>
        <v>251.84866169318656</v>
      </c>
      <c r="BB39" s="111"/>
      <c r="BC39" s="124">
        <f t="shared" si="25"/>
        <v>0.61460004602996954</v>
      </c>
    </row>
    <row r="40" spans="2:56" ht="21">
      <c r="B40" s="162">
        <f t="shared" si="9"/>
        <v>2019</v>
      </c>
      <c r="C40" s="386">
        <f t="shared" si="10"/>
        <v>2.5399999999999999E-2</v>
      </c>
      <c r="D40" s="398">
        <v>0.05</v>
      </c>
      <c r="E40" s="399">
        <f t="shared" si="0"/>
        <v>2.5399999999999999E-2</v>
      </c>
      <c r="F40" s="101"/>
      <c r="G40" s="400">
        <f t="shared" si="1"/>
        <v>1.6933333333333331E-2</v>
      </c>
      <c r="H40" s="401">
        <f t="shared" si="2"/>
        <v>3.3333333333333333E-2</v>
      </c>
      <c r="I40" s="402">
        <f t="shared" si="3"/>
        <v>1.6933333333333331E-2</v>
      </c>
      <c r="J40" s="101"/>
      <c r="K40" s="402">
        <f t="shared" si="4"/>
        <v>1.6933333333333331E-2</v>
      </c>
      <c r="L40" s="379">
        <f t="shared" si="11"/>
        <v>17</v>
      </c>
      <c r="M40" s="379">
        <f t="shared" si="12"/>
        <v>23</v>
      </c>
      <c r="N40" s="379">
        <f t="shared" si="13"/>
        <v>2</v>
      </c>
      <c r="O40" s="379">
        <f t="shared" si="14"/>
        <v>2</v>
      </c>
      <c r="P40" s="379">
        <f t="shared" si="15"/>
        <v>2</v>
      </c>
      <c r="Q40" s="404">
        <f t="shared" si="16"/>
        <v>0</v>
      </c>
      <c r="R40" s="416">
        <f t="shared" si="23"/>
        <v>1.4724637681159418E-3</v>
      </c>
      <c r="S40" s="407">
        <f t="shared" si="24"/>
        <v>2.5399999999999999E-2</v>
      </c>
      <c r="V40" s="240">
        <v>2019</v>
      </c>
      <c r="W40" s="405">
        <v>2.5399999999999999E-2</v>
      </c>
      <c r="X40" s="244">
        <f t="shared" si="17"/>
        <v>1.4724637681159418E-3</v>
      </c>
      <c r="AB40" s="83">
        <v>2019</v>
      </c>
      <c r="AC40" s="88">
        <f t="shared" si="7"/>
        <v>1.4724637681159418E-3</v>
      </c>
      <c r="AD40" s="83">
        <v>2019</v>
      </c>
      <c r="AE40" s="89">
        <v>0</v>
      </c>
      <c r="AF40" s="83">
        <v>2019</v>
      </c>
      <c r="AG40" s="89">
        <v>0</v>
      </c>
      <c r="AH40" s="83">
        <v>2019</v>
      </c>
      <c r="AI40" s="89">
        <v>0</v>
      </c>
      <c r="AJ40" s="83">
        <v>2019</v>
      </c>
      <c r="AK40" s="89">
        <v>0</v>
      </c>
      <c r="AL40" s="87">
        <v>2019</v>
      </c>
      <c r="AM40" s="89">
        <v>0</v>
      </c>
      <c r="AN40" s="252" t="s">
        <v>34</v>
      </c>
      <c r="AQ40" s="125">
        <v>2019</v>
      </c>
      <c r="AR40" s="111"/>
      <c r="AS40" s="101"/>
      <c r="AT40" s="78"/>
      <c r="AU40" s="126"/>
      <c r="AV40" s="180">
        <v>2.2000000000000002</v>
      </c>
      <c r="AW40" s="125"/>
      <c r="AX40" s="111"/>
      <c r="AY40" s="111"/>
      <c r="AZ40" s="117"/>
      <c r="BA40" s="117"/>
      <c r="BB40" s="101"/>
      <c r="BC40" s="127"/>
    </row>
    <row r="41" spans="2:56" ht="21">
      <c r="B41" s="162">
        <f t="shared" si="9"/>
        <v>2020</v>
      </c>
      <c r="C41" s="386">
        <f t="shared" si="10"/>
        <v>2.69E-2</v>
      </c>
      <c r="D41" s="398">
        <v>0.05</v>
      </c>
      <c r="E41" s="399">
        <f t="shared" si="0"/>
        <v>2.69E-2</v>
      </c>
      <c r="F41" s="101"/>
      <c r="G41" s="400">
        <f t="shared" si="1"/>
        <v>1.7933333333333332E-2</v>
      </c>
      <c r="H41" s="401">
        <f t="shared" si="2"/>
        <v>3.3333333333333333E-2</v>
      </c>
      <c r="I41" s="402">
        <f t="shared" si="3"/>
        <v>1.7933333333333332E-2</v>
      </c>
      <c r="J41" s="101"/>
      <c r="K41" s="402">
        <f t="shared" si="4"/>
        <v>1.7933333333333332E-2</v>
      </c>
      <c r="L41" s="379">
        <f t="shared" si="11"/>
        <v>17</v>
      </c>
      <c r="M41" s="379">
        <f t="shared" si="12"/>
        <v>23</v>
      </c>
      <c r="N41" s="379">
        <f t="shared" si="13"/>
        <v>2</v>
      </c>
      <c r="O41" s="379">
        <f t="shared" si="14"/>
        <v>2</v>
      </c>
      <c r="P41" s="379">
        <f t="shared" si="15"/>
        <v>2</v>
      </c>
      <c r="Q41" s="404">
        <f t="shared" si="16"/>
        <v>0</v>
      </c>
      <c r="R41" s="416">
        <f t="shared" si="23"/>
        <v>1.5594202898550724E-3</v>
      </c>
      <c r="S41" s="407">
        <f t="shared" si="24"/>
        <v>2.69E-2</v>
      </c>
      <c r="V41" s="240">
        <v>2020</v>
      </c>
      <c r="W41" s="405">
        <v>2.69E-2</v>
      </c>
      <c r="X41" s="244">
        <f t="shared" si="17"/>
        <v>1.5594202898550724E-3</v>
      </c>
      <c r="AB41" s="91">
        <v>2020</v>
      </c>
      <c r="AC41" s="88">
        <f t="shared" si="7"/>
        <v>1.5594202898550724E-3</v>
      </c>
      <c r="AD41" s="91">
        <v>2020</v>
      </c>
      <c r="AE41" s="89">
        <v>0</v>
      </c>
      <c r="AF41" s="91">
        <v>2020</v>
      </c>
      <c r="AG41" s="89">
        <v>0</v>
      </c>
      <c r="AH41" s="91">
        <v>2020</v>
      </c>
      <c r="AI41" s="89">
        <v>0</v>
      </c>
      <c r="AJ41" s="91">
        <v>2020</v>
      </c>
      <c r="AK41" s="89">
        <v>0</v>
      </c>
      <c r="AL41" s="92">
        <v>2020</v>
      </c>
      <c r="AM41" s="89">
        <v>0</v>
      </c>
      <c r="AN41" s="253" t="s">
        <v>34</v>
      </c>
      <c r="AQ41" s="185">
        <v>2020</v>
      </c>
      <c r="AR41" s="101"/>
      <c r="AS41" s="101"/>
      <c r="AT41" s="101"/>
      <c r="AU41" s="101"/>
      <c r="AV41" s="180">
        <v>0.8</v>
      </c>
      <c r="AW41" s="101"/>
      <c r="AX41" s="101"/>
      <c r="AY41" s="101"/>
      <c r="AZ41" s="101"/>
      <c r="BA41" s="101"/>
      <c r="BB41" s="101"/>
      <c r="BC41" s="101"/>
    </row>
    <row r="42" spans="2:56" ht="21">
      <c r="B42" s="459">
        <f t="shared" si="9"/>
        <v>2021</v>
      </c>
      <c r="C42" s="386">
        <f t="shared" si="10"/>
        <v>0.02</v>
      </c>
      <c r="D42" s="398">
        <v>0.05</v>
      </c>
      <c r="E42" s="399">
        <f t="shared" si="0"/>
        <v>0.02</v>
      </c>
      <c r="F42" s="101"/>
      <c r="G42" s="400">
        <f t="shared" si="1"/>
        <v>1.3333333333333334E-2</v>
      </c>
      <c r="H42" s="401">
        <f t="shared" si="2"/>
        <v>3.3333333333333333E-2</v>
      </c>
      <c r="I42" s="402">
        <f t="shared" si="3"/>
        <v>1.3333333333333334E-2</v>
      </c>
      <c r="J42" s="101"/>
      <c r="K42" s="402">
        <f t="shared" si="4"/>
        <v>1.3333333333333334E-2</v>
      </c>
      <c r="L42" s="379">
        <f t="shared" si="11"/>
        <v>17</v>
      </c>
      <c r="M42" s="379">
        <f t="shared" si="12"/>
        <v>23</v>
      </c>
      <c r="N42" s="379">
        <f t="shared" si="13"/>
        <v>2</v>
      </c>
      <c r="O42" s="379">
        <f t="shared" si="14"/>
        <v>2</v>
      </c>
      <c r="P42" s="379">
        <f t="shared" si="15"/>
        <v>2</v>
      </c>
      <c r="Q42" s="404">
        <f t="shared" si="16"/>
        <v>0</v>
      </c>
      <c r="R42" s="416">
        <f t="shared" si="23"/>
        <v>1.1594202898550724E-3</v>
      </c>
      <c r="S42" s="407">
        <f t="shared" si="24"/>
        <v>0.02</v>
      </c>
      <c r="V42" s="458">
        <f t="shared" ref="V42:V81" si="27">V41+1</f>
        <v>2021</v>
      </c>
      <c r="W42" s="410">
        <f>'MASTER SUMMARY'!M56/100</f>
        <v>0.02</v>
      </c>
      <c r="X42" s="244">
        <f t="shared" si="17"/>
        <v>1.1594202898550724E-3</v>
      </c>
      <c r="Y42" t="s">
        <v>82</v>
      </c>
      <c r="AB42" s="91">
        <f t="shared" ref="AB42:AB81" si="28">AB41+1</f>
        <v>2021</v>
      </c>
      <c r="AC42" s="88">
        <f t="shared" si="7"/>
        <v>1.1594202898550724E-3</v>
      </c>
      <c r="AD42" s="91">
        <f t="shared" ref="AD42:AD81" si="29">AD41+1</f>
        <v>2021</v>
      </c>
      <c r="AE42" s="89">
        <v>0.01</v>
      </c>
      <c r="AF42" s="91">
        <f t="shared" ref="AF42:AF81" si="30">AF41+1</f>
        <v>2021</v>
      </c>
      <c r="AG42" s="182">
        <f>X42</f>
        <v>1.1594202898550724E-3</v>
      </c>
      <c r="AH42" s="91">
        <f t="shared" ref="AH42:AH81" si="31">AH41+1</f>
        <v>2021</v>
      </c>
      <c r="AI42" s="183">
        <f t="shared" ref="AI42:AI81" si="32">X42/2</f>
        <v>5.7971014492753622E-4</v>
      </c>
      <c r="AJ42" s="91">
        <f t="shared" ref="AJ42:AJ81" si="33">AJ41+1</f>
        <v>2021</v>
      </c>
      <c r="AK42" s="182">
        <f>X42*0.5</f>
        <v>5.7971014492753622E-4</v>
      </c>
      <c r="AL42" s="92">
        <v>2021</v>
      </c>
      <c r="AM42" s="95">
        <f t="shared" ref="AM42:AM81" si="34">X42*AN42</f>
        <v>1.1594202898550724E-3</v>
      </c>
      <c r="AN42" s="26">
        <v>1</v>
      </c>
      <c r="AQ42" s="101"/>
      <c r="AR42" s="101"/>
      <c r="AS42" s="101"/>
      <c r="AT42" s="101"/>
      <c r="AU42" s="101"/>
      <c r="AV42" s="101"/>
      <c r="AW42" s="128">
        <v>100</v>
      </c>
      <c r="AX42" s="101"/>
      <c r="AY42" s="101"/>
      <c r="AZ42" s="101"/>
      <c r="BA42" s="20"/>
      <c r="BB42" s="101"/>
      <c r="BC42" s="101"/>
    </row>
    <row r="43" spans="2:56" ht="21">
      <c r="B43" s="162">
        <f t="shared" si="9"/>
        <v>2022</v>
      </c>
      <c r="C43" s="386">
        <f t="shared" si="10"/>
        <v>0.02</v>
      </c>
      <c r="D43" s="398">
        <v>0.05</v>
      </c>
      <c r="E43" s="399">
        <f t="shared" si="0"/>
        <v>0.02</v>
      </c>
      <c r="F43" s="101"/>
      <c r="G43" s="400">
        <f t="shared" si="1"/>
        <v>1.3333333333333334E-2</v>
      </c>
      <c r="H43" s="401">
        <f t="shared" si="2"/>
        <v>3.3333333333333333E-2</v>
      </c>
      <c r="I43" s="402">
        <f t="shared" si="3"/>
        <v>1.3333333333333334E-2</v>
      </c>
      <c r="J43" s="101"/>
      <c r="K43" s="402">
        <f t="shared" si="4"/>
        <v>1.3333333333333334E-2</v>
      </c>
      <c r="L43" s="379">
        <f t="shared" si="11"/>
        <v>17</v>
      </c>
      <c r="M43" s="379">
        <f t="shared" si="12"/>
        <v>23</v>
      </c>
      <c r="N43" s="379">
        <f t="shared" si="13"/>
        <v>2</v>
      </c>
      <c r="O43" s="379">
        <f t="shared" si="14"/>
        <v>2</v>
      </c>
      <c r="P43" s="379">
        <f t="shared" si="15"/>
        <v>2</v>
      </c>
      <c r="Q43" s="404">
        <f t="shared" si="16"/>
        <v>0</v>
      </c>
      <c r="R43" s="416">
        <f t="shared" si="23"/>
        <v>1.1594202898550724E-3</v>
      </c>
      <c r="S43" s="407">
        <f t="shared" si="24"/>
        <v>0.02</v>
      </c>
      <c r="V43" s="90">
        <f t="shared" si="27"/>
        <v>2022</v>
      </c>
      <c r="W43" s="154">
        <f>W42</f>
        <v>0.02</v>
      </c>
      <c r="X43" s="244">
        <f t="shared" si="17"/>
        <v>1.1594202898550724E-3</v>
      </c>
      <c r="Y43" t="s">
        <v>82</v>
      </c>
      <c r="AB43" s="91">
        <f t="shared" si="28"/>
        <v>2022</v>
      </c>
      <c r="AC43" s="88">
        <f t="shared" si="7"/>
        <v>1.1594202898550724E-3</v>
      </c>
      <c r="AD43" s="91">
        <f t="shared" si="29"/>
        <v>2022</v>
      </c>
      <c r="AE43" s="84">
        <v>0</v>
      </c>
      <c r="AF43" s="91">
        <f t="shared" si="30"/>
        <v>2022</v>
      </c>
      <c r="AG43" s="182">
        <v>0</v>
      </c>
      <c r="AH43" s="91">
        <f t="shared" si="31"/>
        <v>2022</v>
      </c>
      <c r="AI43" s="183">
        <f t="shared" si="32"/>
        <v>5.7971014492753622E-4</v>
      </c>
      <c r="AJ43" s="91">
        <f t="shared" si="33"/>
        <v>2022</v>
      </c>
      <c r="AK43" s="182">
        <f>X43*0.5</f>
        <v>5.7971014492753622E-4</v>
      </c>
      <c r="AL43" s="92">
        <v>2022</v>
      </c>
      <c r="AM43" s="95">
        <f t="shared" si="34"/>
        <v>1.1594202898550724E-3</v>
      </c>
      <c r="AN43" s="26">
        <v>1</v>
      </c>
      <c r="AQ43" s="101"/>
      <c r="AR43" s="101"/>
      <c r="AS43" s="101" t="s">
        <v>43</v>
      </c>
      <c r="AT43" s="101"/>
      <c r="AU43" s="101"/>
      <c r="AV43" s="101"/>
      <c r="AW43" s="101"/>
      <c r="AX43" s="101"/>
      <c r="AY43" s="101"/>
      <c r="AZ43" s="101"/>
      <c r="BA43" s="129">
        <f>(BA39-AZ39)/AZ39</f>
        <v>0.62707439815459642</v>
      </c>
      <c r="BB43" s="101"/>
      <c r="BC43" s="101"/>
    </row>
    <row r="44" spans="2:56" ht="21">
      <c r="B44" s="162">
        <f t="shared" si="9"/>
        <v>2023</v>
      </c>
      <c r="C44" s="386">
        <f t="shared" si="10"/>
        <v>0.02</v>
      </c>
      <c r="D44" s="398">
        <v>0.05</v>
      </c>
      <c r="E44" s="399">
        <f t="shared" si="0"/>
        <v>0.02</v>
      </c>
      <c r="F44" s="101"/>
      <c r="G44" s="400">
        <f t="shared" si="1"/>
        <v>1.3333333333333334E-2</v>
      </c>
      <c r="H44" s="401">
        <f t="shared" si="2"/>
        <v>3.3333333333333333E-2</v>
      </c>
      <c r="I44" s="402">
        <f t="shared" si="3"/>
        <v>1.3333333333333334E-2</v>
      </c>
      <c r="J44" s="101"/>
      <c r="K44" s="402">
        <f t="shared" si="4"/>
        <v>1.3333333333333334E-2</v>
      </c>
      <c r="L44" s="379">
        <f t="shared" si="11"/>
        <v>17</v>
      </c>
      <c r="M44" s="379">
        <f t="shared" si="12"/>
        <v>23</v>
      </c>
      <c r="N44" s="379">
        <f t="shared" si="13"/>
        <v>2</v>
      </c>
      <c r="O44" s="379">
        <f t="shared" si="14"/>
        <v>2</v>
      </c>
      <c r="P44" s="379">
        <f t="shared" si="15"/>
        <v>2</v>
      </c>
      <c r="Q44" s="404">
        <f t="shared" si="16"/>
        <v>0</v>
      </c>
      <c r="R44" s="416">
        <f t="shared" si="23"/>
        <v>1.1594202898550724E-3</v>
      </c>
      <c r="S44" s="407">
        <f t="shared" si="24"/>
        <v>0.02</v>
      </c>
      <c r="V44" s="90">
        <f t="shared" si="27"/>
        <v>2023</v>
      </c>
      <c r="W44" s="154">
        <f t="shared" ref="W44" si="35">W43</f>
        <v>0.02</v>
      </c>
      <c r="X44" s="244">
        <f t="shared" si="17"/>
        <v>1.1594202898550724E-3</v>
      </c>
      <c r="Y44" t="s">
        <v>82</v>
      </c>
      <c r="AB44" s="91">
        <f t="shared" si="28"/>
        <v>2023</v>
      </c>
      <c r="AC44" s="88">
        <f t="shared" si="7"/>
        <v>1.1594202898550724E-3</v>
      </c>
      <c r="AD44" s="91">
        <f t="shared" si="29"/>
        <v>2023</v>
      </c>
      <c r="AE44" s="89">
        <v>0</v>
      </c>
      <c r="AF44" s="91">
        <f t="shared" si="30"/>
        <v>2023</v>
      </c>
      <c r="AG44" s="182">
        <f>X44</f>
        <v>1.1594202898550724E-3</v>
      </c>
      <c r="AH44" s="91">
        <f t="shared" si="31"/>
        <v>2023</v>
      </c>
      <c r="AI44" s="183">
        <f t="shared" si="32"/>
        <v>5.7971014492753622E-4</v>
      </c>
      <c r="AJ44" s="91">
        <f t="shared" si="33"/>
        <v>2023</v>
      </c>
      <c r="AK44" s="182">
        <f>X44</f>
        <v>1.1594202898550724E-3</v>
      </c>
      <c r="AL44" s="92">
        <v>2023</v>
      </c>
      <c r="AM44" s="95">
        <f t="shared" si="34"/>
        <v>1.1594202898550724E-3</v>
      </c>
      <c r="AN44" s="26">
        <v>1</v>
      </c>
    </row>
    <row r="45" spans="2:56" ht="21">
      <c r="B45" s="162">
        <f t="shared" si="9"/>
        <v>2024</v>
      </c>
      <c r="C45" s="386">
        <f t="shared" si="10"/>
        <v>0.02</v>
      </c>
      <c r="D45" s="398">
        <v>0.05</v>
      </c>
      <c r="E45" s="399">
        <f t="shared" si="0"/>
        <v>0.02</v>
      </c>
      <c r="F45" s="101"/>
      <c r="G45" s="400">
        <f t="shared" si="1"/>
        <v>1.3333333333333334E-2</v>
      </c>
      <c r="H45" s="401">
        <f t="shared" si="2"/>
        <v>3.3333333333333333E-2</v>
      </c>
      <c r="I45" s="402">
        <f t="shared" si="3"/>
        <v>1.3333333333333334E-2</v>
      </c>
      <c r="J45" s="101"/>
      <c r="K45" s="402">
        <f t="shared" si="4"/>
        <v>1.3333333333333334E-2</v>
      </c>
      <c r="L45" s="379">
        <f t="shared" si="11"/>
        <v>17</v>
      </c>
      <c r="M45" s="379">
        <f t="shared" si="12"/>
        <v>23</v>
      </c>
      <c r="N45" s="379">
        <f t="shared" si="13"/>
        <v>2</v>
      </c>
      <c r="O45" s="379">
        <f t="shared" si="14"/>
        <v>2</v>
      </c>
      <c r="P45" s="379">
        <f t="shared" si="15"/>
        <v>2</v>
      </c>
      <c r="Q45" s="404">
        <f t="shared" si="16"/>
        <v>0</v>
      </c>
      <c r="R45" s="416">
        <f t="shared" si="23"/>
        <v>1.1594202898550724E-3</v>
      </c>
      <c r="S45" s="407">
        <f t="shared" si="24"/>
        <v>0.02</v>
      </c>
      <c r="V45" s="90">
        <f t="shared" si="27"/>
        <v>2024</v>
      </c>
      <c r="W45" s="154">
        <f t="shared" ref="W45" si="36">W44</f>
        <v>0.02</v>
      </c>
      <c r="X45" s="244">
        <f t="shared" si="17"/>
        <v>1.1594202898550724E-3</v>
      </c>
      <c r="Y45" t="s">
        <v>82</v>
      </c>
      <c r="AB45" s="91">
        <f t="shared" si="28"/>
        <v>2024</v>
      </c>
      <c r="AC45" s="88">
        <f t="shared" si="7"/>
        <v>1.1594202898550724E-3</v>
      </c>
      <c r="AD45" s="91">
        <f t="shared" si="29"/>
        <v>2024</v>
      </c>
      <c r="AE45" s="89">
        <v>0</v>
      </c>
      <c r="AF45" s="91">
        <f t="shared" si="30"/>
        <v>2024</v>
      </c>
      <c r="AG45" s="182">
        <v>0</v>
      </c>
      <c r="AH45" s="91">
        <f t="shared" si="31"/>
        <v>2024</v>
      </c>
      <c r="AI45" s="183">
        <f t="shared" si="32"/>
        <v>5.7971014492753622E-4</v>
      </c>
      <c r="AJ45" s="91">
        <f t="shared" si="33"/>
        <v>2024</v>
      </c>
      <c r="AK45" s="182">
        <f>X45*0.5</f>
        <v>5.7971014492753622E-4</v>
      </c>
      <c r="AL45" s="92">
        <v>2024</v>
      </c>
      <c r="AM45" s="95">
        <f t="shared" si="34"/>
        <v>1.1594202898550724E-3</v>
      </c>
      <c r="AN45" s="26">
        <v>1</v>
      </c>
      <c r="AQ45" s="101"/>
      <c r="AR45" s="101"/>
      <c r="AS45" s="101"/>
      <c r="AT45" s="101"/>
      <c r="AU45" s="101"/>
      <c r="AV45" s="101"/>
      <c r="AW45" s="101"/>
      <c r="AX45" s="101"/>
      <c r="AY45" s="101"/>
      <c r="AZ45" s="101"/>
      <c r="BA45" s="101"/>
      <c r="BB45" s="101"/>
      <c r="BC45" s="101"/>
      <c r="BD45" s="101"/>
    </row>
    <row r="46" spans="2:56" ht="21">
      <c r="B46" s="162">
        <f t="shared" si="9"/>
        <v>2025</v>
      </c>
      <c r="C46" s="386">
        <f t="shared" si="10"/>
        <v>0.02</v>
      </c>
      <c r="D46" s="398">
        <v>0.05</v>
      </c>
      <c r="E46" s="399">
        <f t="shared" si="0"/>
        <v>0.02</v>
      </c>
      <c r="F46" s="101"/>
      <c r="G46" s="400">
        <f t="shared" si="1"/>
        <v>1.3333333333333334E-2</v>
      </c>
      <c r="H46" s="401">
        <f t="shared" si="2"/>
        <v>3.3333333333333333E-2</v>
      </c>
      <c r="I46" s="402">
        <f t="shared" si="3"/>
        <v>1.3333333333333334E-2</v>
      </c>
      <c r="J46" s="101"/>
      <c r="K46" s="402">
        <f t="shared" si="4"/>
        <v>1.3333333333333334E-2</v>
      </c>
      <c r="L46" s="379">
        <f t="shared" si="11"/>
        <v>17</v>
      </c>
      <c r="M46" s="379">
        <f t="shared" si="12"/>
        <v>23</v>
      </c>
      <c r="N46" s="379">
        <f t="shared" si="13"/>
        <v>2</v>
      </c>
      <c r="O46" s="379">
        <f t="shared" si="14"/>
        <v>2</v>
      </c>
      <c r="P46" s="379">
        <f t="shared" si="15"/>
        <v>2</v>
      </c>
      <c r="Q46" s="404">
        <f t="shared" si="16"/>
        <v>0</v>
      </c>
      <c r="R46" s="416">
        <f t="shared" si="23"/>
        <v>1.1594202898550724E-3</v>
      </c>
      <c r="S46" s="407">
        <f t="shared" si="24"/>
        <v>0.02</v>
      </c>
      <c r="V46" s="90">
        <f t="shared" si="27"/>
        <v>2025</v>
      </c>
      <c r="W46" s="154">
        <f t="shared" ref="W46" si="37">W45</f>
        <v>0.02</v>
      </c>
      <c r="X46" s="244">
        <f t="shared" si="17"/>
        <v>1.1594202898550724E-3</v>
      </c>
      <c r="Y46" t="s">
        <v>82</v>
      </c>
      <c r="AB46" s="91">
        <f t="shared" si="28"/>
        <v>2025</v>
      </c>
      <c r="AC46" s="88">
        <f t="shared" si="7"/>
        <v>1.1594202898550724E-3</v>
      </c>
      <c r="AD46" s="91">
        <f t="shared" si="29"/>
        <v>2025</v>
      </c>
      <c r="AE46" s="89">
        <v>0</v>
      </c>
      <c r="AF46" s="91">
        <f t="shared" si="30"/>
        <v>2025</v>
      </c>
      <c r="AG46" s="182">
        <f>X46</f>
        <v>1.1594202898550724E-3</v>
      </c>
      <c r="AH46" s="91">
        <f t="shared" si="31"/>
        <v>2025</v>
      </c>
      <c r="AI46" s="183">
        <f t="shared" si="32"/>
        <v>5.7971014492753622E-4</v>
      </c>
      <c r="AJ46" s="91">
        <f t="shared" si="33"/>
        <v>2025</v>
      </c>
      <c r="AK46" s="182">
        <f>X46*0.5</f>
        <v>5.7971014492753622E-4</v>
      </c>
      <c r="AL46" s="92">
        <v>2025</v>
      </c>
      <c r="AM46" s="95">
        <f t="shared" si="34"/>
        <v>1.1594202898550724E-3</v>
      </c>
      <c r="AN46" s="26">
        <v>1</v>
      </c>
    </row>
    <row r="47" spans="2:56" ht="21">
      <c r="B47" s="162">
        <f t="shared" si="9"/>
        <v>2026</v>
      </c>
      <c r="C47" s="386">
        <f t="shared" si="10"/>
        <v>0.02</v>
      </c>
      <c r="D47" s="398">
        <v>0.05</v>
      </c>
      <c r="E47" s="399">
        <f t="shared" si="0"/>
        <v>0.02</v>
      </c>
      <c r="F47" s="101"/>
      <c r="G47" s="400">
        <f t="shared" si="1"/>
        <v>1.3333333333333334E-2</v>
      </c>
      <c r="H47" s="401">
        <f t="shared" si="2"/>
        <v>3.3333333333333333E-2</v>
      </c>
      <c r="I47" s="402">
        <f t="shared" si="3"/>
        <v>1.3333333333333334E-2</v>
      </c>
      <c r="J47" s="101"/>
      <c r="K47" s="402">
        <f t="shared" si="4"/>
        <v>1.3333333333333334E-2</v>
      </c>
      <c r="L47" s="379">
        <f t="shared" si="11"/>
        <v>17</v>
      </c>
      <c r="M47" s="379">
        <f t="shared" si="12"/>
        <v>23</v>
      </c>
      <c r="N47" s="379">
        <f t="shared" si="13"/>
        <v>2</v>
      </c>
      <c r="O47" s="379">
        <f t="shared" si="14"/>
        <v>2</v>
      </c>
      <c r="P47" s="379">
        <f t="shared" si="15"/>
        <v>2</v>
      </c>
      <c r="Q47" s="404">
        <f t="shared" si="16"/>
        <v>0</v>
      </c>
      <c r="R47" s="416">
        <f t="shared" si="23"/>
        <v>1.1594202898550724E-3</v>
      </c>
      <c r="S47" s="407">
        <f t="shared" si="24"/>
        <v>0.02</v>
      </c>
      <c r="V47" s="90">
        <f t="shared" si="27"/>
        <v>2026</v>
      </c>
      <c r="W47" s="154">
        <f t="shared" ref="W47" si="38">W46</f>
        <v>0.02</v>
      </c>
      <c r="X47" s="244">
        <f t="shared" si="17"/>
        <v>1.1594202898550724E-3</v>
      </c>
      <c r="Y47" t="s">
        <v>82</v>
      </c>
      <c r="AB47" s="91">
        <f t="shared" si="28"/>
        <v>2026</v>
      </c>
      <c r="AC47" s="88">
        <f t="shared" si="7"/>
        <v>1.1594202898550724E-3</v>
      </c>
      <c r="AD47" s="91">
        <f t="shared" si="29"/>
        <v>2026</v>
      </c>
      <c r="AE47" s="89">
        <v>0</v>
      </c>
      <c r="AF47" s="91">
        <f t="shared" si="30"/>
        <v>2026</v>
      </c>
      <c r="AG47" s="182">
        <v>0</v>
      </c>
      <c r="AH47" s="91">
        <f t="shared" si="31"/>
        <v>2026</v>
      </c>
      <c r="AI47" s="183">
        <f t="shared" si="32"/>
        <v>5.7971014492753622E-4</v>
      </c>
      <c r="AJ47" s="91">
        <f t="shared" si="33"/>
        <v>2026</v>
      </c>
      <c r="AK47" s="182">
        <f>X47</f>
        <v>1.1594202898550724E-3</v>
      </c>
      <c r="AL47" s="92">
        <v>2026</v>
      </c>
      <c r="AM47" s="95">
        <f t="shared" si="34"/>
        <v>8.6956521739130427E-4</v>
      </c>
      <c r="AN47" s="35">
        <v>0.75</v>
      </c>
      <c r="AQ47" t="s">
        <v>66</v>
      </c>
    </row>
    <row r="48" spans="2:56" ht="21">
      <c r="B48" s="162">
        <f t="shared" si="9"/>
        <v>2027</v>
      </c>
      <c r="C48" s="386">
        <f t="shared" si="10"/>
        <v>0.02</v>
      </c>
      <c r="D48" s="398">
        <v>0.05</v>
      </c>
      <c r="E48" s="399">
        <f t="shared" si="0"/>
        <v>0.02</v>
      </c>
      <c r="F48" s="101"/>
      <c r="G48" s="400">
        <f t="shared" si="1"/>
        <v>1.3333333333333334E-2</v>
      </c>
      <c r="H48" s="401">
        <f t="shared" si="2"/>
        <v>3.3333333333333333E-2</v>
      </c>
      <c r="I48" s="402">
        <f t="shared" si="3"/>
        <v>1.3333333333333334E-2</v>
      </c>
      <c r="J48" s="101"/>
      <c r="K48" s="402">
        <f t="shared" si="4"/>
        <v>1.3333333333333334E-2</v>
      </c>
      <c r="L48" s="379">
        <f t="shared" si="11"/>
        <v>17</v>
      </c>
      <c r="M48" s="379">
        <f t="shared" si="12"/>
        <v>23</v>
      </c>
      <c r="N48" s="379">
        <f t="shared" si="13"/>
        <v>2</v>
      </c>
      <c r="O48" s="379">
        <f t="shared" si="14"/>
        <v>2</v>
      </c>
      <c r="P48" s="379">
        <f t="shared" si="15"/>
        <v>2</v>
      </c>
      <c r="Q48" s="404">
        <f t="shared" si="16"/>
        <v>0</v>
      </c>
      <c r="R48" s="416">
        <f t="shared" si="23"/>
        <v>1.1594202898550724E-3</v>
      </c>
      <c r="S48" s="407">
        <f t="shared" si="24"/>
        <v>0.02</v>
      </c>
      <c r="V48" s="90">
        <f t="shared" si="27"/>
        <v>2027</v>
      </c>
      <c r="W48" s="154">
        <f t="shared" ref="W48" si="39">W47</f>
        <v>0.02</v>
      </c>
      <c r="X48" s="244">
        <f t="shared" si="17"/>
        <v>1.1594202898550724E-3</v>
      </c>
      <c r="Y48" t="s">
        <v>82</v>
      </c>
      <c r="AB48" s="91">
        <f t="shared" si="28"/>
        <v>2027</v>
      </c>
      <c r="AC48" s="88">
        <f t="shared" si="7"/>
        <v>1.1594202898550724E-3</v>
      </c>
      <c r="AD48" s="91">
        <f t="shared" si="29"/>
        <v>2027</v>
      </c>
      <c r="AE48" s="89">
        <v>0</v>
      </c>
      <c r="AF48" s="91">
        <f t="shared" si="30"/>
        <v>2027</v>
      </c>
      <c r="AG48" s="182">
        <f>X48</f>
        <v>1.1594202898550724E-3</v>
      </c>
      <c r="AH48" s="91">
        <f t="shared" si="31"/>
        <v>2027</v>
      </c>
      <c r="AI48" s="183">
        <f t="shared" si="32"/>
        <v>5.7971014492753622E-4</v>
      </c>
      <c r="AJ48" s="91">
        <f t="shared" si="33"/>
        <v>2027</v>
      </c>
      <c r="AK48" s="182">
        <f>X48*0.5</f>
        <v>5.7971014492753622E-4</v>
      </c>
      <c r="AL48" s="92">
        <v>2027</v>
      </c>
      <c r="AM48" s="95">
        <f t="shared" si="34"/>
        <v>8.6956521739130427E-4</v>
      </c>
      <c r="AN48" s="35">
        <v>0.75</v>
      </c>
      <c r="AQ48" s="175" t="s">
        <v>67</v>
      </c>
      <c r="AR48" s="175"/>
      <c r="AS48" s="176"/>
      <c r="AT48" s="176"/>
      <c r="AU48" s="176"/>
    </row>
    <row r="49" spans="2:47" ht="21">
      <c r="B49" s="162">
        <f t="shared" si="9"/>
        <v>2028</v>
      </c>
      <c r="C49" s="386">
        <f t="shared" si="10"/>
        <v>0.02</v>
      </c>
      <c r="D49" s="398">
        <v>0.05</v>
      </c>
      <c r="E49" s="399">
        <f t="shared" si="0"/>
        <v>0.02</v>
      </c>
      <c r="F49" s="101"/>
      <c r="G49" s="400">
        <f t="shared" si="1"/>
        <v>1.3333333333333334E-2</v>
      </c>
      <c r="H49" s="401">
        <f t="shared" si="2"/>
        <v>3.3333333333333333E-2</v>
      </c>
      <c r="I49" s="402">
        <f t="shared" si="3"/>
        <v>1.3333333333333334E-2</v>
      </c>
      <c r="J49" s="101"/>
      <c r="K49" s="402">
        <f t="shared" si="4"/>
        <v>1.3333333333333334E-2</v>
      </c>
      <c r="L49" s="379">
        <f t="shared" si="11"/>
        <v>17</v>
      </c>
      <c r="M49" s="379">
        <f t="shared" si="12"/>
        <v>23</v>
      </c>
      <c r="N49" s="379">
        <f t="shared" si="13"/>
        <v>2</v>
      </c>
      <c r="O49" s="379">
        <f t="shared" si="14"/>
        <v>2</v>
      </c>
      <c r="P49" s="379">
        <f t="shared" si="15"/>
        <v>2</v>
      </c>
      <c r="Q49" s="404">
        <f t="shared" si="16"/>
        <v>0</v>
      </c>
      <c r="R49" s="416">
        <f t="shared" si="23"/>
        <v>1.1594202898550724E-3</v>
      </c>
      <c r="S49" s="407">
        <f t="shared" si="24"/>
        <v>0.02</v>
      </c>
      <c r="V49" s="90">
        <f t="shared" si="27"/>
        <v>2028</v>
      </c>
      <c r="W49" s="154">
        <f t="shared" ref="W49" si="40">W48</f>
        <v>0.02</v>
      </c>
      <c r="X49" s="244">
        <f t="shared" si="17"/>
        <v>1.1594202898550724E-3</v>
      </c>
      <c r="Y49" t="s">
        <v>82</v>
      </c>
      <c r="AB49" s="91">
        <f t="shared" si="28"/>
        <v>2028</v>
      </c>
      <c r="AC49" s="88">
        <f t="shared" si="7"/>
        <v>1.1594202898550724E-3</v>
      </c>
      <c r="AD49" s="91">
        <f t="shared" si="29"/>
        <v>2028</v>
      </c>
      <c r="AE49" s="89">
        <v>0</v>
      </c>
      <c r="AF49" s="91">
        <f t="shared" si="30"/>
        <v>2028</v>
      </c>
      <c r="AG49" s="182">
        <v>0</v>
      </c>
      <c r="AH49" s="91">
        <f t="shared" si="31"/>
        <v>2028</v>
      </c>
      <c r="AI49" s="183">
        <f t="shared" si="32"/>
        <v>5.7971014492753622E-4</v>
      </c>
      <c r="AJ49" s="91">
        <f t="shared" si="33"/>
        <v>2028</v>
      </c>
      <c r="AK49" s="182">
        <f>X49*0.5</f>
        <v>5.7971014492753622E-4</v>
      </c>
      <c r="AL49" s="92">
        <v>2028</v>
      </c>
      <c r="AM49" s="95">
        <f t="shared" si="34"/>
        <v>8.6956521739130427E-4</v>
      </c>
      <c r="AN49" s="35">
        <v>0.75</v>
      </c>
      <c r="AQ49" s="175" t="s">
        <v>68</v>
      </c>
      <c r="AR49" s="176"/>
      <c r="AS49" s="176"/>
      <c r="AT49" s="176"/>
      <c r="AU49" s="176"/>
    </row>
    <row r="50" spans="2:47" ht="21">
      <c r="B50" s="162">
        <f t="shared" si="9"/>
        <v>2029</v>
      </c>
      <c r="C50" s="386">
        <f t="shared" si="10"/>
        <v>0.02</v>
      </c>
      <c r="D50" s="398">
        <v>0.05</v>
      </c>
      <c r="E50" s="399">
        <f t="shared" si="0"/>
        <v>0.02</v>
      </c>
      <c r="F50" s="101"/>
      <c r="G50" s="400">
        <f t="shared" si="1"/>
        <v>1.3333333333333334E-2</v>
      </c>
      <c r="H50" s="401">
        <f t="shared" si="2"/>
        <v>3.3333333333333333E-2</v>
      </c>
      <c r="I50" s="402">
        <f t="shared" si="3"/>
        <v>1.3333333333333334E-2</v>
      </c>
      <c r="J50" s="101"/>
      <c r="K50" s="402">
        <f t="shared" si="4"/>
        <v>1.3333333333333334E-2</v>
      </c>
      <c r="L50" s="379">
        <f t="shared" si="11"/>
        <v>17</v>
      </c>
      <c r="M50" s="379">
        <f t="shared" si="12"/>
        <v>23</v>
      </c>
      <c r="N50" s="379">
        <f t="shared" si="13"/>
        <v>2</v>
      </c>
      <c r="O50" s="379">
        <f t="shared" si="14"/>
        <v>2</v>
      </c>
      <c r="P50" s="379">
        <f t="shared" si="15"/>
        <v>2</v>
      </c>
      <c r="Q50" s="404">
        <f t="shared" si="16"/>
        <v>0</v>
      </c>
      <c r="R50" s="416">
        <f t="shared" si="23"/>
        <v>1.1594202898550724E-3</v>
      </c>
      <c r="S50" s="407">
        <f t="shared" si="24"/>
        <v>0.02</v>
      </c>
      <c r="V50" s="90">
        <f t="shared" si="27"/>
        <v>2029</v>
      </c>
      <c r="W50" s="154">
        <f t="shared" ref="W50" si="41">W49</f>
        <v>0.02</v>
      </c>
      <c r="X50" s="244">
        <f t="shared" si="17"/>
        <v>1.1594202898550724E-3</v>
      </c>
      <c r="Y50" t="s">
        <v>82</v>
      </c>
      <c r="AB50" s="91">
        <f t="shared" si="28"/>
        <v>2029</v>
      </c>
      <c r="AC50" s="88">
        <f t="shared" si="7"/>
        <v>1.1594202898550724E-3</v>
      </c>
      <c r="AD50" s="91">
        <f t="shared" si="29"/>
        <v>2029</v>
      </c>
      <c r="AE50" s="89">
        <v>0</v>
      </c>
      <c r="AF50" s="91">
        <f t="shared" si="30"/>
        <v>2029</v>
      </c>
      <c r="AG50" s="182">
        <f>X50</f>
        <v>1.1594202898550724E-3</v>
      </c>
      <c r="AH50" s="91">
        <f t="shared" si="31"/>
        <v>2029</v>
      </c>
      <c r="AI50" s="183">
        <f t="shared" si="32"/>
        <v>5.7971014492753622E-4</v>
      </c>
      <c r="AJ50" s="91">
        <f t="shared" si="33"/>
        <v>2029</v>
      </c>
      <c r="AK50" s="182">
        <f>X50</f>
        <v>1.1594202898550724E-3</v>
      </c>
      <c r="AL50" s="92">
        <v>2029</v>
      </c>
      <c r="AM50" s="95">
        <f t="shared" si="34"/>
        <v>8.6956521739130427E-4</v>
      </c>
      <c r="AN50" s="35">
        <v>0.75</v>
      </c>
      <c r="AQ50" s="177"/>
      <c r="AR50" s="178"/>
      <c r="AS50" s="176"/>
      <c r="AT50" s="176"/>
      <c r="AU50" s="176"/>
    </row>
    <row r="51" spans="2:47" ht="21">
      <c r="B51" s="162">
        <f t="shared" si="9"/>
        <v>2030</v>
      </c>
      <c r="C51" s="386">
        <f t="shared" si="10"/>
        <v>0.02</v>
      </c>
      <c r="D51" s="398">
        <v>0.05</v>
      </c>
      <c r="E51" s="399">
        <f t="shared" si="0"/>
        <v>0.02</v>
      </c>
      <c r="F51" s="101"/>
      <c r="G51" s="400">
        <f t="shared" si="1"/>
        <v>1.3333333333333334E-2</v>
      </c>
      <c r="H51" s="401">
        <f t="shared" si="2"/>
        <v>3.3333333333333333E-2</v>
      </c>
      <c r="I51" s="402">
        <f t="shared" si="3"/>
        <v>1.3333333333333334E-2</v>
      </c>
      <c r="J51" s="101"/>
      <c r="K51" s="402">
        <f t="shared" si="4"/>
        <v>1.3333333333333334E-2</v>
      </c>
      <c r="L51" s="379">
        <f t="shared" si="11"/>
        <v>17</v>
      </c>
      <c r="M51" s="379">
        <f t="shared" si="12"/>
        <v>23</v>
      </c>
      <c r="N51" s="379">
        <f t="shared" si="13"/>
        <v>2</v>
      </c>
      <c r="O51" s="379">
        <f t="shared" si="14"/>
        <v>2</v>
      </c>
      <c r="P51" s="379">
        <f t="shared" si="15"/>
        <v>2</v>
      </c>
      <c r="Q51" s="404">
        <f t="shared" si="16"/>
        <v>0</v>
      </c>
      <c r="R51" s="416">
        <f t="shared" si="23"/>
        <v>1.1594202898550724E-3</v>
      </c>
      <c r="S51" s="407">
        <f t="shared" si="24"/>
        <v>0.02</v>
      </c>
      <c r="V51" s="90">
        <f t="shared" si="27"/>
        <v>2030</v>
      </c>
      <c r="W51" s="154">
        <f t="shared" ref="W51" si="42">W50</f>
        <v>0.02</v>
      </c>
      <c r="X51" s="244">
        <f t="shared" si="17"/>
        <v>1.1594202898550724E-3</v>
      </c>
      <c r="Y51" t="s">
        <v>82</v>
      </c>
      <c r="AB51" s="91">
        <f t="shared" si="28"/>
        <v>2030</v>
      </c>
      <c r="AC51" s="88">
        <f t="shared" si="7"/>
        <v>1.1594202898550724E-3</v>
      </c>
      <c r="AD51" s="91">
        <f t="shared" si="29"/>
        <v>2030</v>
      </c>
      <c r="AE51" s="89">
        <v>0</v>
      </c>
      <c r="AF51" s="91">
        <f t="shared" si="30"/>
        <v>2030</v>
      </c>
      <c r="AG51" s="182">
        <v>0</v>
      </c>
      <c r="AH51" s="91">
        <f t="shared" si="31"/>
        <v>2030</v>
      </c>
      <c r="AI51" s="183">
        <f t="shared" si="32"/>
        <v>5.7971014492753622E-4</v>
      </c>
      <c r="AJ51" s="91">
        <f t="shared" si="33"/>
        <v>2030</v>
      </c>
      <c r="AK51" s="182">
        <f>X51*0.5</f>
        <v>5.7971014492753622E-4</v>
      </c>
      <c r="AL51" s="92">
        <v>2030</v>
      </c>
      <c r="AM51" s="95">
        <f t="shared" si="34"/>
        <v>8.6956521739130427E-4</v>
      </c>
      <c r="AN51" s="35">
        <v>0.75</v>
      </c>
      <c r="AQ51" s="175"/>
      <c r="AR51" s="176"/>
      <c r="AS51" s="176"/>
      <c r="AT51" s="176"/>
      <c r="AU51" s="176"/>
    </row>
    <row r="52" spans="2:47" ht="21">
      <c r="B52" s="162">
        <f t="shared" si="9"/>
        <v>2031</v>
      </c>
      <c r="C52" s="386">
        <f t="shared" si="10"/>
        <v>0.02</v>
      </c>
      <c r="D52" s="398">
        <v>0.05</v>
      </c>
      <c r="E52" s="399">
        <f t="shared" si="0"/>
        <v>0.02</v>
      </c>
      <c r="F52" s="101"/>
      <c r="G52" s="400">
        <f t="shared" si="1"/>
        <v>1.3333333333333334E-2</v>
      </c>
      <c r="H52" s="401">
        <f t="shared" si="2"/>
        <v>3.3333333333333333E-2</v>
      </c>
      <c r="I52" s="402">
        <f t="shared" si="3"/>
        <v>1.3333333333333334E-2</v>
      </c>
      <c r="J52" s="101"/>
      <c r="K52" s="402">
        <f t="shared" si="4"/>
        <v>1.3333333333333334E-2</v>
      </c>
      <c r="L52" s="379">
        <f t="shared" si="11"/>
        <v>17</v>
      </c>
      <c r="M52" s="379">
        <f t="shared" si="12"/>
        <v>23</v>
      </c>
      <c r="N52" s="379">
        <f t="shared" si="13"/>
        <v>2</v>
      </c>
      <c r="O52" s="379">
        <f t="shared" si="14"/>
        <v>2</v>
      </c>
      <c r="P52" s="379">
        <f t="shared" si="15"/>
        <v>2</v>
      </c>
      <c r="Q52" s="404">
        <f t="shared" si="16"/>
        <v>0</v>
      </c>
      <c r="R52" s="416">
        <f t="shared" si="23"/>
        <v>1.1594202898550724E-3</v>
      </c>
      <c r="S52" s="407">
        <f t="shared" si="24"/>
        <v>0.02</v>
      </c>
      <c r="V52" s="90">
        <f t="shared" si="27"/>
        <v>2031</v>
      </c>
      <c r="W52" s="154">
        <f t="shared" ref="W52" si="43">W51</f>
        <v>0.02</v>
      </c>
      <c r="X52" s="244">
        <f t="shared" si="17"/>
        <v>1.1594202898550724E-3</v>
      </c>
      <c r="Y52" t="s">
        <v>82</v>
      </c>
      <c r="AB52" s="91">
        <f t="shared" si="28"/>
        <v>2031</v>
      </c>
      <c r="AC52" s="88">
        <f t="shared" si="7"/>
        <v>1.1594202898550724E-3</v>
      </c>
      <c r="AD52" s="91">
        <f t="shared" si="29"/>
        <v>2031</v>
      </c>
      <c r="AE52" s="89">
        <v>0</v>
      </c>
      <c r="AF52" s="91">
        <f t="shared" si="30"/>
        <v>2031</v>
      </c>
      <c r="AG52" s="182">
        <f>X52</f>
        <v>1.1594202898550724E-3</v>
      </c>
      <c r="AH52" s="91">
        <f t="shared" si="31"/>
        <v>2031</v>
      </c>
      <c r="AI52" s="183">
        <f t="shared" si="32"/>
        <v>5.7971014492753622E-4</v>
      </c>
      <c r="AJ52" s="91">
        <f t="shared" si="33"/>
        <v>2031</v>
      </c>
      <c r="AK52" s="182">
        <f>X52*0.5</f>
        <v>5.7971014492753622E-4</v>
      </c>
      <c r="AL52" s="92">
        <v>2031</v>
      </c>
      <c r="AM52" s="95">
        <f t="shared" si="34"/>
        <v>8.6956521739130427E-4</v>
      </c>
      <c r="AN52" s="35">
        <f t="shared" ref="AN52:AN56" si="44">AN51</f>
        <v>0.75</v>
      </c>
      <c r="AQ52" s="175"/>
      <c r="AR52" s="179"/>
      <c r="AS52" s="179" t="s">
        <v>69</v>
      </c>
      <c r="AT52" s="179" t="s">
        <v>70</v>
      </c>
      <c r="AU52" s="179" t="s">
        <v>71</v>
      </c>
    </row>
    <row r="53" spans="2:47" ht="21">
      <c r="B53" s="162">
        <f t="shared" si="9"/>
        <v>2032</v>
      </c>
      <c r="C53" s="386">
        <f t="shared" si="10"/>
        <v>0.02</v>
      </c>
      <c r="D53" s="398">
        <v>0.05</v>
      </c>
      <c r="E53" s="399">
        <f t="shared" si="0"/>
        <v>0.02</v>
      </c>
      <c r="F53" s="101"/>
      <c r="G53" s="400">
        <f t="shared" si="1"/>
        <v>1.3333333333333334E-2</v>
      </c>
      <c r="H53" s="401">
        <f t="shared" si="2"/>
        <v>3.3333333333333333E-2</v>
      </c>
      <c r="I53" s="402">
        <f t="shared" si="3"/>
        <v>1.3333333333333334E-2</v>
      </c>
      <c r="J53" s="101"/>
      <c r="K53" s="402">
        <f t="shared" si="4"/>
        <v>1.3333333333333334E-2</v>
      </c>
      <c r="L53" s="379">
        <f t="shared" si="11"/>
        <v>17</v>
      </c>
      <c r="M53" s="379">
        <f t="shared" si="12"/>
        <v>23</v>
      </c>
      <c r="N53" s="379">
        <f t="shared" si="13"/>
        <v>2</v>
      </c>
      <c r="O53" s="379">
        <f t="shared" si="14"/>
        <v>2</v>
      </c>
      <c r="P53" s="379">
        <f t="shared" si="15"/>
        <v>2</v>
      </c>
      <c r="Q53" s="404">
        <f t="shared" si="16"/>
        <v>0</v>
      </c>
      <c r="R53" s="416">
        <f t="shared" si="23"/>
        <v>1.1594202898550724E-3</v>
      </c>
      <c r="S53" s="407">
        <f t="shared" si="24"/>
        <v>0.02</v>
      </c>
      <c r="V53" s="90">
        <f t="shared" si="27"/>
        <v>2032</v>
      </c>
      <c r="W53" s="154">
        <f t="shared" ref="W53" si="45">W52</f>
        <v>0.02</v>
      </c>
      <c r="X53" s="244">
        <f t="shared" si="17"/>
        <v>1.1594202898550724E-3</v>
      </c>
      <c r="Y53" t="s">
        <v>82</v>
      </c>
      <c r="AB53" s="91">
        <f t="shared" si="28"/>
        <v>2032</v>
      </c>
      <c r="AC53" s="88">
        <f t="shared" si="7"/>
        <v>1.1594202898550724E-3</v>
      </c>
      <c r="AD53" s="91">
        <f t="shared" si="29"/>
        <v>2032</v>
      </c>
      <c r="AE53" s="89">
        <v>0</v>
      </c>
      <c r="AF53" s="91">
        <f t="shared" si="30"/>
        <v>2032</v>
      </c>
      <c r="AG53" s="182">
        <v>0</v>
      </c>
      <c r="AH53" s="91">
        <f t="shared" si="31"/>
        <v>2032</v>
      </c>
      <c r="AI53" s="183">
        <f t="shared" si="32"/>
        <v>5.7971014492753622E-4</v>
      </c>
      <c r="AJ53" s="91">
        <f t="shared" si="33"/>
        <v>2032</v>
      </c>
      <c r="AK53" s="182">
        <f>X53</f>
        <v>1.1594202898550724E-3</v>
      </c>
      <c r="AL53" s="92">
        <v>2032</v>
      </c>
      <c r="AM53" s="95">
        <f t="shared" si="34"/>
        <v>5.7971014492753622E-4</v>
      </c>
      <c r="AN53" s="35">
        <v>0.5</v>
      </c>
      <c r="AQ53" s="175" t="s">
        <v>0</v>
      </c>
      <c r="AR53" s="179" t="s">
        <v>41</v>
      </c>
      <c r="AS53" s="179" t="s">
        <v>72</v>
      </c>
      <c r="AT53" s="179" t="s">
        <v>73</v>
      </c>
      <c r="AU53" s="179" t="s">
        <v>70</v>
      </c>
    </row>
    <row r="54" spans="2:47" ht="21">
      <c r="B54" s="162">
        <f t="shared" si="9"/>
        <v>2033</v>
      </c>
      <c r="C54" s="386">
        <f t="shared" si="10"/>
        <v>0.02</v>
      </c>
      <c r="D54" s="398">
        <v>0.05</v>
      </c>
      <c r="E54" s="399">
        <f t="shared" si="0"/>
        <v>0.02</v>
      </c>
      <c r="F54" s="101"/>
      <c r="G54" s="400">
        <f t="shared" si="1"/>
        <v>1.3333333333333334E-2</v>
      </c>
      <c r="H54" s="401">
        <f t="shared" si="2"/>
        <v>3.3333333333333333E-2</v>
      </c>
      <c r="I54" s="402">
        <f t="shared" si="3"/>
        <v>1.3333333333333334E-2</v>
      </c>
      <c r="J54" s="101"/>
      <c r="K54" s="402">
        <f t="shared" si="4"/>
        <v>1.3333333333333334E-2</v>
      </c>
      <c r="L54" s="379">
        <f t="shared" si="11"/>
        <v>17</v>
      </c>
      <c r="M54" s="379">
        <f t="shared" si="12"/>
        <v>23</v>
      </c>
      <c r="N54" s="379">
        <f t="shared" si="13"/>
        <v>2</v>
      </c>
      <c r="O54" s="379">
        <f t="shared" si="14"/>
        <v>2</v>
      </c>
      <c r="P54" s="379">
        <f t="shared" si="15"/>
        <v>2</v>
      </c>
      <c r="Q54" s="404">
        <f t="shared" si="16"/>
        <v>0</v>
      </c>
      <c r="R54" s="416">
        <f t="shared" si="23"/>
        <v>1.1594202898550724E-3</v>
      </c>
      <c r="S54" s="407">
        <f t="shared" si="24"/>
        <v>0.02</v>
      </c>
      <c r="V54" s="90">
        <f t="shared" si="27"/>
        <v>2033</v>
      </c>
      <c r="W54" s="154">
        <f t="shared" ref="W54" si="46">W53</f>
        <v>0.02</v>
      </c>
      <c r="X54" s="244">
        <f t="shared" si="17"/>
        <v>1.1594202898550724E-3</v>
      </c>
      <c r="Y54" t="s">
        <v>82</v>
      </c>
      <c r="AB54" s="91">
        <f t="shared" si="28"/>
        <v>2033</v>
      </c>
      <c r="AC54" s="88">
        <f t="shared" si="7"/>
        <v>1.1594202898550724E-3</v>
      </c>
      <c r="AD54" s="91">
        <f t="shared" si="29"/>
        <v>2033</v>
      </c>
      <c r="AE54" s="89">
        <v>0.01</v>
      </c>
      <c r="AF54" s="91">
        <f t="shared" si="30"/>
        <v>2033</v>
      </c>
      <c r="AG54" s="182">
        <f>X54</f>
        <v>1.1594202898550724E-3</v>
      </c>
      <c r="AH54" s="91">
        <f t="shared" si="31"/>
        <v>2033</v>
      </c>
      <c r="AI54" s="183">
        <f t="shared" si="32"/>
        <v>5.7971014492753622E-4</v>
      </c>
      <c r="AJ54" s="91">
        <f t="shared" si="33"/>
        <v>2033</v>
      </c>
      <c r="AK54" s="182">
        <f>X54*0.5</f>
        <v>5.7971014492753622E-4</v>
      </c>
      <c r="AL54" s="92">
        <v>2033</v>
      </c>
      <c r="AM54" s="95">
        <f t="shared" si="34"/>
        <v>5.7971014492753622E-4</v>
      </c>
      <c r="AN54" s="35">
        <f t="shared" si="44"/>
        <v>0.5</v>
      </c>
      <c r="AQ54" s="177"/>
      <c r="AR54" s="177"/>
      <c r="AS54" s="177"/>
      <c r="AT54" s="177"/>
      <c r="AU54" s="177"/>
    </row>
    <row r="55" spans="2:47" ht="21">
      <c r="B55" s="162">
        <f t="shared" si="9"/>
        <v>2034</v>
      </c>
      <c r="C55" s="386">
        <f t="shared" si="10"/>
        <v>0.02</v>
      </c>
      <c r="D55" s="398">
        <v>0.05</v>
      </c>
      <c r="E55" s="399">
        <f t="shared" si="0"/>
        <v>0.02</v>
      </c>
      <c r="F55" s="101"/>
      <c r="G55" s="400">
        <f t="shared" si="1"/>
        <v>1.3333333333333334E-2</v>
      </c>
      <c r="H55" s="401">
        <f t="shared" si="2"/>
        <v>3.3333333333333333E-2</v>
      </c>
      <c r="I55" s="402">
        <f t="shared" si="3"/>
        <v>1.3333333333333334E-2</v>
      </c>
      <c r="J55" s="101"/>
      <c r="K55" s="402">
        <f t="shared" si="4"/>
        <v>1.3333333333333334E-2</v>
      </c>
      <c r="L55" s="379">
        <f t="shared" si="11"/>
        <v>17</v>
      </c>
      <c r="M55" s="379">
        <f t="shared" si="12"/>
        <v>23</v>
      </c>
      <c r="N55" s="379">
        <f t="shared" si="13"/>
        <v>2</v>
      </c>
      <c r="O55" s="379">
        <f t="shared" si="14"/>
        <v>2</v>
      </c>
      <c r="P55" s="379">
        <f t="shared" si="15"/>
        <v>2</v>
      </c>
      <c r="Q55" s="404">
        <f t="shared" si="16"/>
        <v>0</v>
      </c>
      <c r="R55" s="416">
        <f t="shared" si="23"/>
        <v>1.1594202898550724E-3</v>
      </c>
      <c r="S55" s="407">
        <f t="shared" si="24"/>
        <v>0.02</v>
      </c>
      <c r="V55" s="90">
        <f t="shared" si="27"/>
        <v>2034</v>
      </c>
      <c r="W55" s="154">
        <f t="shared" ref="W55" si="47">W54</f>
        <v>0.02</v>
      </c>
      <c r="X55" s="244">
        <f t="shared" si="17"/>
        <v>1.1594202898550724E-3</v>
      </c>
      <c r="Y55" t="s">
        <v>82</v>
      </c>
      <c r="AB55" s="91">
        <f t="shared" si="28"/>
        <v>2034</v>
      </c>
      <c r="AC55" s="88">
        <f t="shared" si="7"/>
        <v>1.1594202898550724E-3</v>
      </c>
      <c r="AD55" s="91">
        <f t="shared" si="29"/>
        <v>2034</v>
      </c>
      <c r="AE55" s="84">
        <v>0</v>
      </c>
      <c r="AF55" s="91">
        <f t="shared" si="30"/>
        <v>2034</v>
      </c>
      <c r="AG55" s="182">
        <v>0</v>
      </c>
      <c r="AH55" s="91">
        <f t="shared" si="31"/>
        <v>2034</v>
      </c>
      <c r="AI55" s="183">
        <f t="shared" si="32"/>
        <v>5.7971014492753622E-4</v>
      </c>
      <c r="AJ55" s="91">
        <f t="shared" si="33"/>
        <v>2034</v>
      </c>
      <c r="AK55" s="182">
        <f>X55*0.5</f>
        <v>5.7971014492753622E-4</v>
      </c>
      <c r="AL55" s="92">
        <v>2034</v>
      </c>
      <c r="AM55" s="95">
        <f t="shared" si="34"/>
        <v>5.7971014492753622E-4</v>
      </c>
      <c r="AN55" s="35">
        <f t="shared" si="44"/>
        <v>0.5</v>
      </c>
      <c r="AQ55" s="176">
        <v>2001</v>
      </c>
      <c r="AR55" s="176">
        <v>173.4</v>
      </c>
      <c r="AS55" s="176"/>
      <c r="AT55" s="176"/>
      <c r="AU55" s="176"/>
    </row>
    <row r="56" spans="2:47" ht="21">
      <c r="B56" s="162">
        <f t="shared" si="9"/>
        <v>2035</v>
      </c>
      <c r="C56" s="386">
        <f t="shared" si="10"/>
        <v>0.02</v>
      </c>
      <c r="D56" s="398">
        <v>0.05</v>
      </c>
      <c r="E56" s="399">
        <f t="shared" si="0"/>
        <v>0.02</v>
      </c>
      <c r="F56" s="101"/>
      <c r="G56" s="400">
        <f t="shared" si="1"/>
        <v>1.3333333333333334E-2</v>
      </c>
      <c r="H56" s="401">
        <f t="shared" si="2"/>
        <v>3.3333333333333333E-2</v>
      </c>
      <c r="I56" s="402">
        <f t="shared" si="3"/>
        <v>1.3333333333333334E-2</v>
      </c>
      <c r="J56" s="101"/>
      <c r="K56" s="402">
        <f t="shared" si="4"/>
        <v>1.3333333333333334E-2</v>
      </c>
      <c r="L56" s="379">
        <f t="shared" si="11"/>
        <v>17</v>
      </c>
      <c r="M56" s="379">
        <f t="shared" si="12"/>
        <v>23</v>
      </c>
      <c r="N56" s="379">
        <f t="shared" si="13"/>
        <v>2</v>
      </c>
      <c r="O56" s="379">
        <f t="shared" si="14"/>
        <v>2</v>
      </c>
      <c r="P56" s="379">
        <f t="shared" si="15"/>
        <v>2</v>
      </c>
      <c r="Q56" s="404">
        <f t="shared" si="16"/>
        <v>0</v>
      </c>
      <c r="R56" s="416">
        <f t="shared" si="23"/>
        <v>1.1594202898550724E-3</v>
      </c>
      <c r="S56" s="407">
        <f t="shared" si="24"/>
        <v>0.02</v>
      </c>
      <c r="V56" s="90">
        <f t="shared" si="27"/>
        <v>2035</v>
      </c>
      <c r="W56" s="154">
        <f t="shared" ref="W56" si="48">W55</f>
        <v>0.02</v>
      </c>
      <c r="X56" s="244">
        <f t="shared" si="17"/>
        <v>1.1594202898550724E-3</v>
      </c>
      <c r="Y56" t="s">
        <v>82</v>
      </c>
      <c r="AB56" s="91">
        <f t="shared" si="28"/>
        <v>2035</v>
      </c>
      <c r="AC56" s="88">
        <f t="shared" si="7"/>
        <v>1.1594202898550724E-3</v>
      </c>
      <c r="AD56" s="91">
        <f t="shared" si="29"/>
        <v>2035</v>
      </c>
      <c r="AE56" s="89">
        <v>0</v>
      </c>
      <c r="AF56" s="91">
        <f t="shared" si="30"/>
        <v>2035</v>
      </c>
      <c r="AG56" s="182">
        <f>X56</f>
        <v>1.1594202898550724E-3</v>
      </c>
      <c r="AH56" s="91">
        <f t="shared" si="31"/>
        <v>2035</v>
      </c>
      <c r="AI56" s="183">
        <f t="shared" si="32"/>
        <v>5.7971014492753622E-4</v>
      </c>
      <c r="AJ56" s="91">
        <f t="shared" si="33"/>
        <v>2035</v>
      </c>
      <c r="AK56" s="182">
        <f>X56</f>
        <v>1.1594202898550724E-3</v>
      </c>
      <c r="AL56" s="92">
        <v>2035</v>
      </c>
      <c r="AM56" s="95">
        <f t="shared" si="34"/>
        <v>5.7971014492753622E-4</v>
      </c>
      <c r="AN56" s="35">
        <f t="shared" si="44"/>
        <v>0.5</v>
      </c>
      <c r="AQ56" s="176">
        <v>2002</v>
      </c>
      <c r="AR56" s="176">
        <v>178.5</v>
      </c>
      <c r="AS56" s="176">
        <v>5.0999999999999996</v>
      </c>
      <c r="AT56" s="180">
        <v>2.9</v>
      </c>
      <c r="AU56" s="176">
        <v>2.9</v>
      </c>
    </row>
    <row r="57" spans="2:47" ht="21">
      <c r="B57" s="162">
        <f t="shared" si="9"/>
        <v>2036</v>
      </c>
      <c r="C57" s="386">
        <f t="shared" si="10"/>
        <v>0.02</v>
      </c>
      <c r="D57" s="398">
        <v>0.05</v>
      </c>
      <c r="E57" s="399">
        <f t="shared" si="0"/>
        <v>0.02</v>
      </c>
      <c r="F57" s="101"/>
      <c r="G57" s="400">
        <f t="shared" si="1"/>
        <v>1.3333333333333334E-2</v>
      </c>
      <c r="H57" s="401">
        <f t="shared" si="2"/>
        <v>3.3333333333333333E-2</v>
      </c>
      <c r="I57" s="402">
        <f t="shared" si="3"/>
        <v>1.3333333333333334E-2</v>
      </c>
      <c r="J57" s="101"/>
      <c r="K57" s="402">
        <f t="shared" si="4"/>
        <v>1.3333333333333334E-2</v>
      </c>
      <c r="L57" s="379">
        <f t="shared" si="11"/>
        <v>17</v>
      </c>
      <c r="M57" s="379">
        <f t="shared" si="12"/>
        <v>23</v>
      </c>
      <c r="N57" s="379">
        <f t="shared" si="13"/>
        <v>2</v>
      </c>
      <c r="O57" s="379">
        <f t="shared" si="14"/>
        <v>2</v>
      </c>
      <c r="P57" s="379">
        <f t="shared" si="15"/>
        <v>2</v>
      </c>
      <c r="Q57" s="404">
        <f t="shared" si="16"/>
        <v>0</v>
      </c>
      <c r="R57" s="416">
        <f t="shared" si="23"/>
        <v>1.1594202898550724E-3</v>
      </c>
      <c r="S57" s="407">
        <f t="shared" si="24"/>
        <v>0.02</v>
      </c>
      <c r="V57" s="90">
        <f t="shared" si="27"/>
        <v>2036</v>
      </c>
      <c r="W57" s="154">
        <f t="shared" ref="W57" si="49">W56</f>
        <v>0.02</v>
      </c>
      <c r="X57" s="244">
        <f t="shared" si="17"/>
        <v>1.1594202898550724E-3</v>
      </c>
      <c r="Y57" t="s">
        <v>82</v>
      </c>
      <c r="AB57" s="91">
        <f t="shared" si="28"/>
        <v>2036</v>
      </c>
      <c r="AC57" s="88">
        <f t="shared" si="7"/>
        <v>1.1594202898550724E-3</v>
      </c>
      <c r="AD57" s="91">
        <f t="shared" si="29"/>
        <v>2036</v>
      </c>
      <c r="AE57" s="89">
        <v>0</v>
      </c>
      <c r="AF57" s="91">
        <f t="shared" si="30"/>
        <v>2036</v>
      </c>
      <c r="AG57" s="182">
        <v>0</v>
      </c>
      <c r="AH57" s="91">
        <f t="shared" si="31"/>
        <v>2036</v>
      </c>
      <c r="AI57" s="183">
        <f t="shared" si="32"/>
        <v>5.7971014492753622E-4</v>
      </c>
      <c r="AJ57" s="91">
        <f t="shared" si="33"/>
        <v>2036</v>
      </c>
      <c r="AK57" s="182">
        <f>X57*0.5</f>
        <v>5.7971014492753622E-4</v>
      </c>
      <c r="AL57" s="92">
        <v>2036</v>
      </c>
      <c r="AM57" s="95">
        <f t="shared" si="34"/>
        <v>5.7971014492753622E-4</v>
      </c>
      <c r="AN57" s="40">
        <v>0.5</v>
      </c>
      <c r="AQ57" s="176">
        <v>2003</v>
      </c>
      <c r="AR57" s="176">
        <v>183.5</v>
      </c>
      <c r="AS57" s="180">
        <v>5</v>
      </c>
      <c r="AT57" s="180">
        <v>2.8</v>
      </c>
      <c r="AU57" s="180">
        <v>5.7</v>
      </c>
    </row>
    <row r="58" spans="2:47" ht="21">
      <c r="B58" s="162">
        <f t="shared" si="9"/>
        <v>2037</v>
      </c>
      <c r="C58" s="386">
        <f t="shared" si="10"/>
        <v>0.02</v>
      </c>
      <c r="D58" s="398">
        <v>0.05</v>
      </c>
      <c r="E58" s="399">
        <f t="shared" si="0"/>
        <v>0.02</v>
      </c>
      <c r="F58" s="101"/>
      <c r="G58" s="400">
        <f t="shared" si="1"/>
        <v>1.3333333333333334E-2</v>
      </c>
      <c r="H58" s="401">
        <f t="shared" si="2"/>
        <v>3.3333333333333333E-2</v>
      </c>
      <c r="I58" s="402">
        <f t="shared" si="3"/>
        <v>1.3333333333333334E-2</v>
      </c>
      <c r="J58" s="101"/>
      <c r="K58" s="402">
        <f t="shared" si="4"/>
        <v>1.3333333333333334E-2</v>
      </c>
      <c r="L58" s="379">
        <f t="shared" si="11"/>
        <v>17</v>
      </c>
      <c r="M58" s="379">
        <f t="shared" si="12"/>
        <v>23</v>
      </c>
      <c r="N58" s="379">
        <f t="shared" si="13"/>
        <v>2</v>
      </c>
      <c r="O58" s="379">
        <f t="shared" si="14"/>
        <v>2</v>
      </c>
      <c r="P58" s="379">
        <f t="shared" si="15"/>
        <v>2</v>
      </c>
      <c r="Q58" s="404">
        <f t="shared" si="16"/>
        <v>0</v>
      </c>
      <c r="R58" s="416">
        <f t="shared" si="23"/>
        <v>1.1594202898550724E-3</v>
      </c>
      <c r="S58" s="407">
        <f t="shared" si="24"/>
        <v>0.02</v>
      </c>
      <c r="V58" s="90">
        <f t="shared" si="27"/>
        <v>2037</v>
      </c>
      <c r="W58" s="154">
        <f t="shared" ref="W58" si="50">W57</f>
        <v>0.02</v>
      </c>
      <c r="X58" s="244">
        <f t="shared" si="17"/>
        <v>1.1594202898550724E-3</v>
      </c>
      <c r="Y58" t="s">
        <v>82</v>
      </c>
      <c r="AB58" s="91">
        <f t="shared" si="28"/>
        <v>2037</v>
      </c>
      <c r="AC58" s="88">
        <f t="shared" si="7"/>
        <v>1.1594202898550724E-3</v>
      </c>
      <c r="AD58" s="91">
        <f t="shared" si="29"/>
        <v>2037</v>
      </c>
      <c r="AE58" s="89">
        <v>0</v>
      </c>
      <c r="AF58" s="91">
        <f t="shared" si="30"/>
        <v>2037</v>
      </c>
      <c r="AG58" s="182">
        <f>X58</f>
        <v>1.1594202898550724E-3</v>
      </c>
      <c r="AH58" s="91">
        <f t="shared" si="31"/>
        <v>2037</v>
      </c>
      <c r="AI58" s="183">
        <f t="shared" si="32"/>
        <v>5.7971014492753622E-4</v>
      </c>
      <c r="AJ58" s="91">
        <f t="shared" si="33"/>
        <v>2037</v>
      </c>
      <c r="AK58" s="182">
        <f>X58*0.5</f>
        <v>5.7971014492753622E-4</v>
      </c>
      <c r="AL58" s="92">
        <v>2037</v>
      </c>
      <c r="AM58" s="95">
        <f t="shared" si="34"/>
        <v>5.7971014492753622E-4</v>
      </c>
      <c r="AN58" s="40">
        <f>AN57</f>
        <v>0.5</v>
      </c>
      <c r="AQ58" s="176">
        <v>2004</v>
      </c>
      <c r="AR58" s="176">
        <v>189.9</v>
      </c>
      <c r="AS58" s="180">
        <v>6.4</v>
      </c>
      <c r="AT58" s="180">
        <v>3.5</v>
      </c>
      <c r="AU58" s="180">
        <v>9.1999999999999993</v>
      </c>
    </row>
    <row r="59" spans="2:47" ht="21">
      <c r="B59" s="162">
        <f t="shared" si="9"/>
        <v>2038</v>
      </c>
      <c r="C59" s="386">
        <f t="shared" si="10"/>
        <v>0.02</v>
      </c>
      <c r="D59" s="398">
        <v>0.05</v>
      </c>
      <c r="E59" s="399">
        <f t="shared" si="0"/>
        <v>0.02</v>
      </c>
      <c r="F59" s="101"/>
      <c r="G59" s="400">
        <f t="shared" si="1"/>
        <v>1.3333333333333334E-2</v>
      </c>
      <c r="H59" s="401">
        <f t="shared" si="2"/>
        <v>3.3333333333333333E-2</v>
      </c>
      <c r="I59" s="402">
        <f t="shared" si="3"/>
        <v>1.3333333333333334E-2</v>
      </c>
      <c r="J59" s="101"/>
      <c r="K59" s="402">
        <f t="shared" si="4"/>
        <v>1.3333333333333334E-2</v>
      </c>
      <c r="L59" s="379">
        <f t="shared" si="11"/>
        <v>17</v>
      </c>
      <c r="M59" s="379">
        <f t="shared" si="12"/>
        <v>23</v>
      </c>
      <c r="N59" s="379">
        <f t="shared" si="13"/>
        <v>2</v>
      </c>
      <c r="O59" s="379">
        <f t="shared" si="14"/>
        <v>2</v>
      </c>
      <c r="P59" s="379">
        <f t="shared" si="15"/>
        <v>2</v>
      </c>
      <c r="Q59" s="404">
        <f t="shared" si="16"/>
        <v>0</v>
      </c>
      <c r="R59" s="416">
        <f t="shared" si="23"/>
        <v>1.1594202898550724E-3</v>
      </c>
      <c r="S59" s="407">
        <f t="shared" si="24"/>
        <v>0.02</v>
      </c>
      <c r="V59" s="90">
        <f t="shared" si="27"/>
        <v>2038</v>
      </c>
      <c r="W59" s="154">
        <f t="shared" ref="W59" si="51">W58</f>
        <v>0.02</v>
      </c>
      <c r="X59" s="244">
        <f t="shared" si="17"/>
        <v>1.1594202898550724E-3</v>
      </c>
      <c r="Y59" t="s">
        <v>82</v>
      </c>
      <c r="AB59" s="91">
        <f t="shared" si="28"/>
        <v>2038</v>
      </c>
      <c r="AC59" s="88">
        <f t="shared" si="7"/>
        <v>1.1594202898550724E-3</v>
      </c>
      <c r="AD59" s="91">
        <f t="shared" si="29"/>
        <v>2038</v>
      </c>
      <c r="AE59" s="89">
        <v>0</v>
      </c>
      <c r="AF59" s="91">
        <f t="shared" si="30"/>
        <v>2038</v>
      </c>
      <c r="AG59" s="182">
        <v>0</v>
      </c>
      <c r="AH59" s="91">
        <f t="shared" si="31"/>
        <v>2038</v>
      </c>
      <c r="AI59" s="183">
        <f t="shared" si="32"/>
        <v>5.7971014492753622E-4</v>
      </c>
      <c r="AJ59" s="91">
        <f t="shared" si="33"/>
        <v>2038</v>
      </c>
      <c r="AK59" s="182">
        <f>X59</f>
        <v>1.1594202898550724E-3</v>
      </c>
      <c r="AL59" s="92">
        <v>2038</v>
      </c>
      <c r="AM59" s="95">
        <f t="shared" si="34"/>
        <v>5.7971014492753622E-4</v>
      </c>
      <c r="AN59" s="40">
        <f t="shared" ref="AN59:AN74" si="52">AN58</f>
        <v>0.5</v>
      </c>
      <c r="AQ59" s="176">
        <v>2005</v>
      </c>
      <c r="AR59" s="176">
        <v>194.1</v>
      </c>
      <c r="AS59" s="180">
        <v>4.2</v>
      </c>
      <c r="AT59" s="180">
        <v>2.2000000000000002</v>
      </c>
      <c r="AU59" s="180">
        <v>11.4</v>
      </c>
    </row>
    <row r="60" spans="2:47" ht="21">
      <c r="B60" s="162">
        <f t="shared" si="9"/>
        <v>2039</v>
      </c>
      <c r="C60" s="386">
        <f t="shared" si="10"/>
        <v>0.02</v>
      </c>
      <c r="D60" s="398">
        <v>0.05</v>
      </c>
      <c r="E60" s="399">
        <f t="shared" si="0"/>
        <v>0.02</v>
      </c>
      <c r="F60" s="101"/>
      <c r="G60" s="400">
        <f t="shared" si="1"/>
        <v>1.3333333333333334E-2</v>
      </c>
      <c r="H60" s="401">
        <f t="shared" si="2"/>
        <v>3.3333333333333333E-2</v>
      </c>
      <c r="I60" s="402">
        <f t="shared" si="3"/>
        <v>1.3333333333333334E-2</v>
      </c>
      <c r="J60" s="101"/>
      <c r="K60" s="402">
        <f t="shared" si="4"/>
        <v>1.3333333333333334E-2</v>
      </c>
      <c r="L60" s="379">
        <f t="shared" si="11"/>
        <v>17</v>
      </c>
      <c r="M60" s="379">
        <f t="shared" si="12"/>
        <v>23</v>
      </c>
      <c r="N60" s="379">
        <f t="shared" si="13"/>
        <v>2</v>
      </c>
      <c r="O60" s="379">
        <f t="shared" si="14"/>
        <v>2</v>
      </c>
      <c r="P60" s="379">
        <f t="shared" si="15"/>
        <v>2</v>
      </c>
      <c r="Q60" s="404">
        <f t="shared" si="16"/>
        <v>0</v>
      </c>
      <c r="R60" s="416">
        <f t="shared" si="23"/>
        <v>1.1594202898550724E-3</v>
      </c>
      <c r="S60" s="407">
        <f t="shared" si="24"/>
        <v>0.02</v>
      </c>
      <c r="V60" s="90">
        <f t="shared" si="27"/>
        <v>2039</v>
      </c>
      <c r="W60" s="154">
        <f t="shared" ref="W60" si="53">W59</f>
        <v>0.02</v>
      </c>
      <c r="X60" s="244">
        <f t="shared" si="17"/>
        <v>1.1594202898550724E-3</v>
      </c>
      <c r="Y60" t="s">
        <v>82</v>
      </c>
      <c r="AB60" s="91">
        <f t="shared" si="28"/>
        <v>2039</v>
      </c>
      <c r="AC60" s="88">
        <f t="shared" si="7"/>
        <v>1.1594202898550724E-3</v>
      </c>
      <c r="AD60" s="91">
        <f t="shared" si="29"/>
        <v>2039</v>
      </c>
      <c r="AE60" s="89">
        <v>0</v>
      </c>
      <c r="AF60" s="91">
        <f t="shared" si="30"/>
        <v>2039</v>
      </c>
      <c r="AG60" s="182">
        <f>X60</f>
        <v>1.1594202898550724E-3</v>
      </c>
      <c r="AH60" s="91">
        <f t="shared" si="31"/>
        <v>2039</v>
      </c>
      <c r="AI60" s="183">
        <f t="shared" si="32"/>
        <v>5.7971014492753622E-4</v>
      </c>
      <c r="AJ60" s="91">
        <f t="shared" si="33"/>
        <v>2039</v>
      </c>
      <c r="AK60" s="182">
        <f>X60*0.5</f>
        <v>5.7971014492753622E-4</v>
      </c>
      <c r="AL60" s="92">
        <v>2039</v>
      </c>
      <c r="AM60" s="95">
        <f t="shared" si="34"/>
        <v>5.7971014492753622E-4</v>
      </c>
      <c r="AN60" s="40">
        <f t="shared" si="52"/>
        <v>0.5</v>
      </c>
      <c r="AQ60" s="176">
        <v>2006</v>
      </c>
      <c r="AR60" s="176">
        <v>202.7</v>
      </c>
      <c r="AS60" s="180">
        <v>8.6</v>
      </c>
      <c r="AT60" s="180">
        <v>4.4000000000000004</v>
      </c>
      <c r="AU60" s="180">
        <v>15.8</v>
      </c>
    </row>
    <row r="61" spans="2:47" ht="21">
      <c r="B61" s="162">
        <f t="shared" si="9"/>
        <v>2040</v>
      </c>
      <c r="C61" s="386">
        <f t="shared" si="10"/>
        <v>0.02</v>
      </c>
      <c r="D61" s="398">
        <v>0.05</v>
      </c>
      <c r="E61" s="399">
        <f t="shared" si="0"/>
        <v>0.02</v>
      </c>
      <c r="F61" s="101"/>
      <c r="G61" s="400">
        <f t="shared" si="1"/>
        <v>1.3333333333333334E-2</v>
      </c>
      <c r="H61" s="401">
        <f t="shared" si="2"/>
        <v>3.3333333333333333E-2</v>
      </c>
      <c r="I61" s="402">
        <f t="shared" si="3"/>
        <v>1.3333333333333334E-2</v>
      </c>
      <c r="J61" s="101"/>
      <c r="K61" s="402">
        <f t="shared" si="4"/>
        <v>1.3333333333333334E-2</v>
      </c>
      <c r="L61" s="379">
        <f t="shared" si="11"/>
        <v>17</v>
      </c>
      <c r="M61" s="379">
        <f t="shared" si="12"/>
        <v>23</v>
      </c>
      <c r="N61" s="379">
        <f t="shared" si="13"/>
        <v>2</v>
      </c>
      <c r="O61" s="379">
        <f t="shared" si="14"/>
        <v>2</v>
      </c>
      <c r="P61" s="379">
        <f t="shared" si="15"/>
        <v>2</v>
      </c>
      <c r="Q61" s="404">
        <f t="shared" si="16"/>
        <v>0</v>
      </c>
      <c r="R61" s="416">
        <f t="shared" si="23"/>
        <v>1.1594202898550724E-3</v>
      </c>
      <c r="S61" s="407">
        <f t="shared" si="24"/>
        <v>0.02</v>
      </c>
      <c r="V61" s="90">
        <f t="shared" si="27"/>
        <v>2040</v>
      </c>
      <c r="W61" s="154">
        <f t="shared" ref="W61" si="54">W60</f>
        <v>0.02</v>
      </c>
      <c r="X61" s="244">
        <f t="shared" si="17"/>
        <v>1.1594202898550724E-3</v>
      </c>
      <c r="Y61" t="s">
        <v>82</v>
      </c>
      <c r="AB61" s="91">
        <f t="shared" si="28"/>
        <v>2040</v>
      </c>
      <c r="AC61" s="88">
        <f t="shared" si="7"/>
        <v>1.1594202898550724E-3</v>
      </c>
      <c r="AD61" s="91">
        <f t="shared" si="29"/>
        <v>2040</v>
      </c>
      <c r="AE61" s="89">
        <v>0</v>
      </c>
      <c r="AF61" s="91">
        <f t="shared" si="30"/>
        <v>2040</v>
      </c>
      <c r="AG61" s="182">
        <v>0</v>
      </c>
      <c r="AH61" s="91">
        <f t="shared" si="31"/>
        <v>2040</v>
      </c>
      <c r="AI61" s="183">
        <f t="shared" si="32"/>
        <v>5.7971014492753622E-4</v>
      </c>
      <c r="AJ61" s="91">
        <f t="shared" si="33"/>
        <v>2040</v>
      </c>
      <c r="AK61" s="182">
        <f>X61*0.5</f>
        <v>5.7971014492753622E-4</v>
      </c>
      <c r="AL61" s="92">
        <v>2040</v>
      </c>
      <c r="AM61" s="95">
        <f t="shared" si="34"/>
        <v>5.7971014492753622E-4</v>
      </c>
      <c r="AN61" s="40">
        <f t="shared" si="52"/>
        <v>0.5</v>
      </c>
      <c r="AQ61" s="176">
        <v>2007</v>
      </c>
      <c r="AR61" s="176">
        <v>210.9</v>
      </c>
      <c r="AS61" s="180">
        <v>8.1999999999999993</v>
      </c>
      <c r="AT61" s="180">
        <v>4</v>
      </c>
      <c r="AU61" s="180">
        <v>19.899999999999999</v>
      </c>
    </row>
    <row r="62" spans="2:47" ht="21">
      <c r="B62" s="162">
        <f t="shared" si="9"/>
        <v>2041</v>
      </c>
      <c r="C62" s="386">
        <f t="shared" si="10"/>
        <v>0.02</v>
      </c>
      <c r="D62" s="398">
        <v>0.05</v>
      </c>
      <c r="E62" s="399">
        <f t="shared" si="0"/>
        <v>0.02</v>
      </c>
      <c r="F62" s="101"/>
      <c r="G62" s="400">
        <f t="shared" si="1"/>
        <v>1.3333333333333334E-2</v>
      </c>
      <c r="H62" s="401">
        <f t="shared" si="2"/>
        <v>3.3333333333333333E-2</v>
      </c>
      <c r="I62" s="402">
        <f t="shared" si="3"/>
        <v>1.3333333333333334E-2</v>
      </c>
      <c r="J62" s="101"/>
      <c r="K62" s="402">
        <f t="shared" si="4"/>
        <v>1.3333333333333334E-2</v>
      </c>
      <c r="L62" s="379">
        <f t="shared" si="11"/>
        <v>17</v>
      </c>
      <c r="M62" s="379">
        <f t="shared" si="12"/>
        <v>23</v>
      </c>
      <c r="N62" s="379">
        <f t="shared" si="13"/>
        <v>2</v>
      </c>
      <c r="O62" s="379">
        <f t="shared" si="14"/>
        <v>2</v>
      </c>
      <c r="P62" s="379">
        <f t="shared" si="15"/>
        <v>2</v>
      </c>
      <c r="Q62" s="404">
        <f t="shared" si="16"/>
        <v>0</v>
      </c>
      <c r="R62" s="416">
        <f t="shared" si="23"/>
        <v>1.1594202898550724E-3</v>
      </c>
      <c r="S62" s="407">
        <f t="shared" si="24"/>
        <v>0.02</v>
      </c>
      <c r="V62" s="90">
        <f t="shared" si="27"/>
        <v>2041</v>
      </c>
      <c r="W62" s="154">
        <f t="shared" ref="W62" si="55">W61</f>
        <v>0.02</v>
      </c>
      <c r="X62" s="244">
        <f t="shared" si="17"/>
        <v>1.1594202898550724E-3</v>
      </c>
      <c r="Y62" t="s">
        <v>82</v>
      </c>
      <c r="AB62" s="91">
        <f t="shared" si="28"/>
        <v>2041</v>
      </c>
      <c r="AC62" s="88">
        <f t="shared" si="7"/>
        <v>1.1594202898550724E-3</v>
      </c>
      <c r="AD62" s="91">
        <f t="shared" si="29"/>
        <v>2041</v>
      </c>
      <c r="AE62" s="89">
        <v>0</v>
      </c>
      <c r="AF62" s="91">
        <f t="shared" si="30"/>
        <v>2041</v>
      </c>
      <c r="AG62" s="182">
        <f>X62</f>
        <v>1.1594202898550724E-3</v>
      </c>
      <c r="AH62" s="91">
        <f t="shared" si="31"/>
        <v>2041</v>
      </c>
      <c r="AI62" s="183">
        <f t="shared" si="32"/>
        <v>5.7971014492753622E-4</v>
      </c>
      <c r="AJ62" s="91">
        <f t="shared" si="33"/>
        <v>2041</v>
      </c>
      <c r="AK62" s="182">
        <f>X62</f>
        <v>1.1594202898550724E-3</v>
      </c>
      <c r="AL62" s="92">
        <v>2041</v>
      </c>
      <c r="AM62" s="95">
        <f t="shared" si="34"/>
        <v>5.7971014492753622E-4</v>
      </c>
      <c r="AN62" s="40">
        <f t="shared" si="52"/>
        <v>0.5</v>
      </c>
      <c r="AQ62" s="176">
        <v>2008</v>
      </c>
      <c r="AR62" s="176">
        <v>212.9</v>
      </c>
      <c r="AS62" s="180">
        <v>2</v>
      </c>
      <c r="AT62" s="180">
        <v>0.9</v>
      </c>
      <c r="AU62" s="180">
        <v>20.8</v>
      </c>
    </row>
    <row r="63" spans="2:47" ht="21">
      <c r="B63" s="162">
        <f t="shared" si="9"/>
        <v>2042</v>
      </c>
      <c r="C63" s="386">
        <f t="shared" si="10"/>
        <v>0.02</v>
      </c>
      <c r="D63" s="398">
        <v>0.05</v>
      </c>
      <c r="E63" s="399">
        <f t="shared" si="0"/>
        <v>0.02</v>
      </c>
      <c r="F63" s="101"/>
      <c r="G63" s="400">
        <f t="shared" si="1"/>
        <v>1.3333333333333334E-2</v>
      </c>
      <c r="H63" s="401">
        <f t="shared" si="2"/>
        <v>3.3333333333333333E-2</v>
      </c>
      <c r="I63" s="402">
        <f t="shared" si="3"/>
        <v>1.3333333333333334E-2</v>
      </c>
      <c r="J63" s="101"/>
      <c r="K63" s="402">
        <f t="shared" si="4"/>
        <v>1.3333333333333334E-2</v>
      </c>
      <c r="L63" s="379">
        <f t="shared" si="11"/>
        <v>17</v>
      </c>
      <c r="M63" s="379">
        <f t="shared" si="12"/>
        <v>23</v>
      </c>
      <c r="N63" s="379">
        <f t="shared" si="13"/>
        <v>2</v>
      </c>
      <c r="O63" s="379">
        <f t="shared" si="14"/>
        <v>2</v>
      </c>
      <c r="P63" s="379">
        <f t="shared" si="15"/>
        <v>2</v>
      </c>
      <c r="Q63" s="404">
        <f t="shared" si="16"/>
        <v>0</v>
      </c>
      <c r="R63" s="416">
        <f t="shared" si="23"/>
        <v>1.1594202898550724E-3</v>
      </c>
      <c r="S63" s="407">
        <f t="shared" si="24"/>
        <v>0.02</v>
      </c>
      <c r="V63" s="90">
        <f t="shared" si="27"/>
        <v>2042</v>
      </c>
      <c r="W63" s="154">
        <f t="shared" ref="W63" si="56">W62</f>
        <v>0.02</v>
      </c>
      <c r="X63" s="244">
        <f t="shared" si="17"/>
        <v>1.1594202898550724E-3</v>
      </c>
      <c r="Y63" t="s">
        <v>82</v>
      </c>
      <c r="AB63" s="91">
        <f t="shared" si="28"/>
        <v>2042</v>
      </c>
      <c r="AC63" s="88">
        <f t="shared" si="7"/>
        <v>1.1594202898550724E-3</v>
      </c>
      <c r="AD63" s="91">
        <f t="shared" si="29"/>
        <v>2042</v>
      </c>
      <c r="AE63" s="89">
        <v>0</v>
      </c>
      <c r="AF63" s="91">
        <f t="shared" si="30"/>
        <v>2042</v>
      </c>
      <c r="AG63" s="182">
        <v>0</v>
      </c>
      <c r="AH63" s="91">
        <f t="shared" si="31"/>
        <v>2042</v>
      </c>
      <c r="AI63" s="183">
        <f t="shared" si="32"/>
        <v>5.7971014492753622E-4</v>
      </c>
      <c r="AJ63" s="91">
        <f t="shared" si="33"/>
        <v>2042</v>
      </c>
      <c r="AK63" s="182">
        <f>X63*0.5</f>
        <v>5.7971014492753622E-4</v>
      </c>
      <c r="AL63" s="92">
        <v>2042</v>
      </c>
      <c r="AM63" s="95">
        <f t="shared" si="34"/>
        <v>5.7971014492753622E-4</v>
      </c>
      <c r="AN63" s="40">
        <f t="shared" si="52"/>
        <v>0.5</v>
      </c>
      <c r="AQ63" s="176">
        <v>2009</v>
      </c>
      <c r="AR63" s="180">
        <v>218</v>
      </c>
      <c r="AS63" s="180">
        <v>5.0999999999999996</v>
      </c>
      <c r="AT63" s="180">
        <v>2.4</v>
      </c>
      <c r="AU63" s="180">
        <v>23.2</v>
      </c>
    </row>
    <row r="64" spans="2:47" ht="21">
      <c r="B64" s="162">
        <f t="shared" si="9"/>
        <v>2043</v>
      </c>
      <c r="C64" s="386">
        <f t="shared" si="10"/>
        <v>0.02</v>
      </c>
      <c r="D64" s="398">
        <v>0.05</v>
      </c>
      <c r="E64" s="399">
        <f t="shared" si="0"/>
        <v>0.02</v>
      </c>
      <c r="F64" s="101"/>
      <c r="G64" s="400">
        <f t="shared" si="1"/>
        <v>1.3333333333333334E-2</v>
      </c>
      <c r="H64" s="401">
        <f t="shared" si="2"/>
        <v>3.3333333333333333E-2</v>
      </c>
      <c r="I64" s="402">
        <f t="shared" si="3"/>
        <v>1.3333333333333334E-2</v>
      </c>
      <c r="J64" s="101"/>
      <c r="K64" s="402">
        <f t="shared" si="4"/>
        <v>1.3333333333333334E-2</v>
      </c>
      <c r="L64" s="379">
        <f t="shared" si="11"/>
        <v>17</v>
      </c>
      <c r="M64" s="379">
        <f t="shared" si="12"/>
        <v>23</v>
      </c>
      <c r="N64" s="379">
        <f t="shared" si="13"/>
        <v>2</v>
      </c>
      <c r="O64" s="379">
        <f t="shared" si="14"/>
        <v>2</v>
      </c>
      <c r="P64" s="379">
        <f t="shared" si="15"/>
        <v>2</v>
      </c>
      <c r="Q64" s="404">
        <f t="shared" si="16"/>
        <v>0</v>
      </c>
      <c r="R64" s="416">
        <f t="shared" si="23"/>
        <v>1.1594202898550724E-3</v>
      </c>
      <c r="S64" s="407">
        <f t="shared" si="24"/>
        <v>0.02</v>
      </c>
      <c r="V64" s="90">
        <f t="shared" si="27"/>
        <v>2043</v>
      </c>
      <c r="W64" s="154">
        <f t="shared" ref="W64" si="57">W63</f>
        <v>0.02</v>
      </c>
      <c r="X64" s="244">
        <f t="shared" si="17"/>
        <v>1.1594202898550724E-3</v>
      </c>
      <c r="Y64" t="s">
        <v>82</v>
      </c>
      <c r="AB64" s="91">
        <f t="shared" si="28"/>
        <v>2043</v>
      </c>
      <c r="AC64" s="88">
        <f t="shared" si="7"/>
        <v>1.1594202898550724E-3</v>
      </c>
      <c r="AD64" s="91">
        <f t="shared" si="29"/>
        <v>2043</v>
      </c>
      <c r="AE64" s="89">
        <v>0</v>
      </c>
      <c r="AF64" s="91">
        <f t="shared" si="30"/>
        <v>2043</v>
      </c>
      <c r="AG64" s="182">
        <f>X64</f>
        <v>1.1594202898550724E-3</v>
      </c>
      <c r="AH64" s="91">
        <f t="shared" si="31"/>
        <v>2043</v>
      </c>
      <c r="AI64" s="183">
        <f t="shared" si="32"/>
        <v>5.7971014492753622E-4</v>
      </c>
      <c r="AJ64" s="91">
        <f t="shared" si="33"/>
        <v>2043</v>
      </c>
      <c r="AK64" s="182">
        <f>X64*0.5</f>
        <v>5.7971014492753622E-4</v>
      </c>
      <c r="AL64" s="92">
        <v>2043</v>
      </c>
      <c r="AM64" s="95">
        <f t="shared" si="34"/>
        <v>5.7971014492753622E-4</v>
      </c>
      <c r="AN64" s="40">
        <f t="shared" si="52"/>
        <v>0.5</v>
      </c>
      <c r="AQ64" s="176">
        <v>2010</v>
      </c>
      <c r="AR64" s="176">
        <v>228.4</v>
      </c>
      <c r="AS64" s="180">
        <v>10.4</v>
      </c>
      <c r="AT64" s="180">
        <v>4.8</v>
      </c>
      <c r="AU64" s="180">
        <v>28</v>
      </c>
    </row>
    <row r="65" spans="2:47" ht="21">
      <c r="B65" s="162">
        <f t="shared" si="9"/>
        <v>2044</v>
      </c>
      <c r="C65" s="386">
        <f t="shared" si="10"/>
        <v>0.02</v>
      </c>
      <c r="D65" s="398">
        <v>0.05</v>
      </c>
      <c r="E65" s="399">
        <f t="shared" si="0"/>
        <v>0.02</v>
      </c>
      <c r="F65" s="101"/>
      <c r="G65" s="400">
        <f t="shared" si="1"/>
        <v>1.3333333333333334E-2</v>
      </c>
      <c r="H65" s="401">
        <f t="shared" si="2"/>
        <v>3.3333333333333333E-2</v>
      </c>
      <c r="I65" s="402">
        <f t="shared" si="3"/>
        <v>1.3333333333333334E-2</v>
      </c>
      <c r="J65" s="101"/>
      <c r="K65" s="402">
        <f t="shared" si="4"/>
        <v>1.3333333333333334E-2</v>
      </c>
      <c r="L65" s="379">
        <f t="shared" si="11"/>
        <v>17</v>
      </c>
      <c r="M65" s="379">
        <f t="shared" si="12"/>
        <v>23</v>
      </c>
      <c r="N65" s="379">
        <f t="shared" si="13"/>
        <v>2</v>
      </c>
      <c r="O65" s="379">
        <f t="shared" si="14"/>
        <v>2</v>
      </c>
      <c r="P65" s="379">
        <f t="shared" si="15"/>
        <v>2</v>
      </c>
      <c r="Q65" s="404">
        <f t="shared" si="16"/>
        <v>0</v>
      </c>
      <c r="R65" s="416">
        <f t="shared" si="23"/>
        <v>1.1594202898550724E-3</v>
      </c>
      <c r="S65" s="407">
        <f t="shared" si="24"/>
        <v>0.02</v>
      </c>
      <c r="V65" s="90">
        <f t="shared" si="27"/>
        <v>2044</v>
      </c>
      <c r="W65" s="154">
        <f t="shared" ref="W65" si="58">W64</f>
        <v>0.02</v>
      </c>
      <c r="X65" s="244">
        <f t="shared" si="17"/>
        <v>1.1594202898550724E-3</v>
      </c>
      <c r="Y65" t="s">
        <v>82</v>
      </c>
      <c r="AB65" s="91">
        <f t="shared" si="28"/>
        <v>2044</v>
      </c>
      <c r="AC65" s="88">
        <f t="shared" si="7"/>
        <v>1.1594202898550724E-3</v>
      </c>
      <c r="AD65" s="91">
        <f t="shared" si="29"/>
        <v>2044</v>
      </c>
      <c r="AE65" s="89">
        <v>0</v>
      </c>
      <c r="AF65" s="91">
        <f t="shared" si="30"/>
        <v>2044</v>
      </c>
      <c r="AG65" s="182">
        <v>0</v>
      </c>
      <c r="AH65" s="91">
        <f t="shared" si="31"/>
        <v>2044</v>
      </c>
      <c r="AI65" s="183">
        <f t="shared" si="32"/>
        <v>5.7971014492753622E-4</v>
      </c>
      <c r="AJ65" s="91">
        <f t="shared" si="33"/>
        <v>2044</v>
      </c>
      <c r="AK65" s="182">
        <f>X65</f>
        <v>1.1594202898550724E-3</v>
      </c>
      <c r="AL65" s="92">
        <v>2044</v>
      </c>
      <c r="AM65" s="95">
        <f t="shared" si="34"/>
        <v>5.7971014492753622E-4</v>
      </c>
      <c r="AN65" s="40">
        <f t="shared" si="52"/>
        <v>0.5</v>
      </c>
      <c r="AQ65" s="176">
        <v>2011</v>
      </c>
      <c r="AR65" s="176">
        <v>239.4</v>
      </c>
      <c r="AS65" s="180">
        <v>11</v>
      </c>
      <c r="AT65" s="180">
        <v>4.8</v>
      </c>
      <c r="AU65" s="180">
        <v>32.799999999999997</v>
      </c>
    </row>
    <row r="66" spans="2:47" ht="21">
      <c r="B66" s="162">
        <f t="shared" si="9"/>
        <v>2045</v>
      </c>
      <c r="C66" s="386">
        <f t="shared" si="10"/>
        <v>0.02</v>
      </c>
      <c r="D66" s="398">
        <v>0.05</v>
      </c>
      <c r="E66" s="399">
        <f t="shared" si="0"/>
        <v>0.02</v>
      </c>
      <c r="F66" s="101"/>
      <c r="G66" s="400">
        <f t="shared" si="1"/>
        <v>1.3333333333333334E-2</v>
      </c>
      <c r="H66" s="401">
        <f t="shared" si="2"/>
        <v>3.3333333333333333E-2</v>
      </c>
      <c r="I66" s="402">
        <f t="shared" si="3"/>
        <v>1.3333333333333334E-2</v>
      </c>
      <c r="J66" s="101"/>
      <c r="K66" s="402">
        <f t="shared" si="4"/>
        <v>1.3333333333333334E-2</v>
      </c>
      <c r="L66" s="379">
        <f t="shared" si="11"/>
        <v>17</v>
      </c>
      <c r="M66" s="379">
        <f t="shared" si="12"/>
        <v>23</v>
      </c>
      <c r="N66" s="379">
        <f t="shared" si="13"/>
        <v>2</v>
      </c>
      <c r="O66" s="379">
        <f t="shared" si="14"/>
        <v>2</v>
      </c>
      <c r="P66" s="379">
        <f t="shared" si="15"/>
        <v>2</v>
      </c>
      <c r="Q66" s="404">
        <f t="shared" si="16"/>
        <v>0</v>
      </c>
      <c r="R66" s="416">
        <f t="shared" si="23"/>
        <v>1.1594202898550724E-3</v>
      </c>
      <c r="S66" s="407">
        <f t="shared" si="24"/>
        <v>0.02</v>
      </c>
      <c r="V66" s="90">
        <f t="shared" si="27"/>
        <v>2045</v>
      </c>
      <c r="W66" s="154">
        <f t="shared" ref="W66" si="59">W65</f>
        <v>0.02</v>
      </c>
      <c r="X66" s="244">
        <f t="shared" si="17"/>
        <v>1.1594202898550724E-3</v>
      </c>
      <c r="Y66" t="s">
        <v>82</v>
      </c>
      <c r="AB66" s="91">
        <f t="shared" si="28"/>
        <v>2045</v>
      </c>
      <c r="AC66" s="88">
        <f t="shared" si="7"/>
        <v>1.1594202898550724E-3</v>
      </c>
      <c r="AD66" s="91">
        <f t="shared" si="29"/>
        <v>2045</v>
      </c>
      <c r="AE66" s="89">
        <v>0</v>
      </c>
      <c r="AF66" s="91">
        <f t="shared" si="30"/>
        <v>2045</v>
      </c>
      <c r="AG66" s="182">
        <f>X66</f>
        <v>1.1594202898550724E-3</v>
      </c>
      <c r="AH66" s="91">
        <f t="shared" si="31"/>
        <v>2045</v>
      </c>
      <c r="AI66" s="183">
        <f t="shared" si="32"/>
        <v>5.7971014492753622E-4</v>
      </c>
      <c r="AJ66" s="91">
        <f t="shared" si="33"/>
        <v>2045</v>
      </c>
      <c r="AK66" s="182">
        <f>X66*0.5</f>
        <v>5.7971014492753622E-4</v>
      </c>
      <c r="AL66" s="92">
        <v>2045</v>
      </c>
      <c r="AM66" s="95">
        <f t="shared" si="34"/>
        <v>5.7971014492753622E-4</v>
      </c>
      <c r="AN66" s="40">
        <f t="shared" si="52"/>
        <v>0.5</v>
      </c>
      <c r="AQ66" s="176">
        <v>2012</v>
      </c>
      <c r="AR66" s="176">
        <v>246.8</v>
      </c>
      <c r="AS66" s="180">
        <v>7.4</v>
      </c>
      <c r="AT66" s="180">
        <v>3.1</v>
      </c>
      <c r="AU66" s="180">
        <v>35.9</v>
      </c>
    </row>
    <row r="67" spans="2:47" ht="21">
      <c r="B67" s="162">
        <f t="shared" si="9"/>
        <v>2046</v>
      </c>
      <c r="C67" s="386">
        <f t="shared" si="10"/>
        <v>0.02</v>
      </c>
      <c r="D67" s="398">
        <v>0.05</v>
      </c>
      <c r="E67" s="399">
        <f t="shared" si="0"/>
        <v>0.02</v>
      </c>
      <c r="F67" s="101"/>
      <c r="G67" s="400">
        <f t="shared" si="1"/>
        <v>1.3333333333333334E-2</v>
      </c>
      <c r="H67" s="401">
        <f t="shared" si="2"/>
        <v>3.3333333333333333E-2</v>
      </c>
      <c r="I67" s="402">
        <f t="shared" si="3"/>
        <v>1.3333333333333334E-2</v>
      </c>
      <c r="J67" s="101"/>
      <c r="K67" s="402">
        <f t="shared" si="4"/>
        <v>1.3333333333333334E-2</v>
      </c>
      <c r="L67" s="379">
        <f t="shared" si="11"/>
        <v>17</v>
      </c>
      <c r="M67" s="379">
        <f t="shared" si="12"/>
        <v>23</v>
      </c>
      <c r="N67" s="379">
        <f t="shared" si="13"/>
        <v>2</v>
      </c>
      <c r="O67" s="379">
        <f t="shared" si="14"/>
        <v>2</v>
      </c>
      <c r="P67" s="379">
        <f t="shared" si="15"/>
        <v>2</v>
      </c>
      <c r="Q67" s="404">
        <f t="shared" si="16"/>
        <v>0</v>
      </c>
      <c r="R67" s="416">
        <f t="shared" si="23"/>
        <v>1.1594202898550724E-3</v>
      </c>
      <c r="S67" s="407">
        <f t="shared" si="24"/>
        <v>0.02</v>
      </c>
      <c r="V67" s="90">
        <f t="shared" si="27"/>
        <v>2046</v>
      </c>
      <c r="W67" s="154">
        <f t="shared" ref="W67" si="60">W66</f>
        <v>0.02</v>
      </c>
      <c r="X67" s="244">
        <f t="shared" si="17"/>
        <v>1.1594202898550724E-3</v>
      </c>
      <c r="Y67" t="s">
        <v>82</v>
      </c>
      <c r="AB67" s="91">
        <f t="shared" si="28"/>
        <v>2046</v>
      </c>
      <c r="AC67" s="88">
        <f t="shared" si="7"/>
        <v>1.1594202898550724E-3</v>
      </c>
      <c r="AD67" s="91">
        <f t="shared" si="29"/>
        <v>2046</v>
      </c>
      <c r="AE67" s="84">
        <v>0.01</v>
      </c>
      <c r="AF67" s="91">
        <f t="shared" si="30"/>
        <v>2046</v>
      </c>
      <c r="AG67" s="182">
        <v>0</v>
      </c>
      <c r="AH67" s="91">
        <f t="shared" si="31"/>
        <v>2046</v>
      </c>
      <c r="AI67" s="183">
        <f t="shared" si="32"/>
        <v>5.7971014492753622E-4</v>
      </c>
      <c r="AJ67" s="91">
        <f t="shared" si="33"/>
        <v>2046</v>
      </c>
      <c r="AK67" s="182">
        <f>X67*0.5</f>
        <v>5.7971014492753622E-4</v>
      </c>
      <c r="AL67" s="92">
        <v>2046</v>
      </c>
      <c r="AM67" s="95">
        <f t="shared" si="34"/>
        <v>2.8985507246376811E-4</v>
      </c>
      <c r="AN67" s="41">
        <v>0.25</v>
      </c>
      <c r="AQ67" s="176">
        <v>2013</v>
      </c>
      <c r="AR67" s="176">
        <v>253.4</v>
      </c>
      <c r="AS67" s="180">
        <v>6.6</v>
      </c>
      <c r="AT67" s="180">
        <v>2.7</v>
      </c>
      <c r="AU67" s="180">
        <v>38.6</v>
      </c>
    </row>
    <row r="68" spans="2:47" ht="21">
      <c r="B68" s="162">
        <f t="shared" si="9"/>
        <v>2047</v>
      </c>
      <c r="C68" s="386">
        <f t="shared" si="10"/>
        <v>0.02</v>
      </c>
      <c r="D68" s="398">
        <v>0.05</v>
      </c>
      <c r="E68" s="399">
        <f t="shared" si="0"/>
        <v>0.02</v>
      </c>
      <c r="F68" s="101"/>
      <c r="G68" s="400">
        <f t="shared" si="1"/>
        <v>1.3333333333333334E-2</v>
      </c>
      <c r="H68" s="401">
        <f t="shared" si="2"/>
        <v>3.3333333333333333E-2</v>
      </c>
      <c r="I68" s="402">
        <f t="shared" si="3"/>
        <v>1.3333333333333334E-2</v>
      </c>
      <c r="J68" s="101"/>
      <c r="K68" s="402">
        <f t="shared" si="4"/>
        <v>1.3333333333333334E-2</v>
      </c>
      <c r="L68" s="379">
        <f t="shared" si="11"/>
        <v>17</v>
      </c>
      <c r="M68" s="379">
        <f t="shared" si="12"/>
        <v>23</v>
      </c>
      <c r="N68" s="379">
        <f t="shared" si="13"/>
        <v>2</v>
      </c>
      <c r="O68" s="379">
        <f t="shared" si="14"/>
        <v>2</v>
      </c>
      <c r="P68" s="379">
        <f t="shared" si="15"/>
        <v>2</v>
      </c>
      <c r="Q68" s="404">
        <f t="shared" si="16"/>
        <v>0</v>
      </c>
      <c r="R68" s="416">
        <f t="shared" si="23"/>
        <v>1.1594202898550724E-3</v>
      </c>
      <c r="S68" s="407">
        <f t="shared" si="24"/>
        <v>0.02</v>
      </c>
      <c r="V68" s="90">
        <f t="shared" si="27"/>
        <v>2047</v>
      </c>
      <c r="W68" s="154">
        <f t="shared" ref="W68" si="61">W67</f>
        <v>0.02</v>
      </c>
      <c r="X68" s="244">
        <f t="shared" si="17"/>
        <v>1.1594202898550724E-3</v>
      </c>
      <c r="Y68" t="s">
        <v>82</v>
      </c>
      <c r="AB68" s="91">
        <f t="shared" si="28"/>
        <v>2047</v>
      </c>
      <c r="AC68" s="88">
        <f t="shared" si="7"/>
        <v>1.1594202898550724E-3</v>
      </c>
      <c r="AD68" s="91">
        <f t="shared" si="29"/>
        <v>2047</v>
      </c>
      <c r="AE68" s="89">
        <v>0</v>
      </c>
      <c r="AF68" s="91">
        <f t="shared" si="30"/>
        <v>2047</v>
      </c>
      <c r="AG68" s="182">
        <f>X68</f>
        <v>1.1594202898550724E-3</v>
      </c>
      <c r="AH68" s="91">
        <f t="shared" si="31"/>
        <v>2047</v>
      </c>
      <c r="AI68" s="183">
        <f t="shared" si="32"/>
        <v>5.7971014492753622E-4</v>
      </c>
      <c r="AJ68" s="91">
        <f t="shared" si="33"/>
        <v>2047</v>
      </c>
      <c r="AK68" s="182">
        <f>X68</f>
        <v>1.1594202898550724E-3</v>
      </c>
      <c r="AL68" s="92">
        <v>2047</v>
      </c>
      <c r="AM68" s="95">
        <f t="shared" si="34"/>
        <v>2.8985507246376811E-4</v>
      </c>
      <c r="AN68" s="41">
        <f t="shared" si="52"/>
        <v>0.25</v>
      </c>
      <c r="AQ68" s="176">
        <v>2014</v>
      </c>
      <c r="AR68" s="176">
        <v>257.5</v>
      </c>
      <c r="AS68" s="180">
        <v>4.0999999999999996</v>
      </c>
      <c r="AT68" s="180">
        <v>1.6</v>
      </c>
      <c r="AU68" s="180">
        <v>40.200000000000003</v>
      </c>
    </row>
    <row r="69" spans="2:47" ht="21">
      <c r="B69" s="162">
        <f t="shared" si="9"/>
        <v>2048</v>
      </c>
      <c r="C69" s="386">
        <f t="shared" si="10"/>
        <v>0.02</v>
      </c>
      <c r="D69" s="398">
        <v>0.05</v>
      </c>
      <c r="E69" s="399">
        <f t="shared" si="0"/>
        <v>0.02</v>
      </c>
      <c r="F69" s="101"/>
      <c r="G69" s="400">
        <f t="shared" si="1"/>
        <v>1.3333333333333334E-2</v>
      </c>
      <c r="H69" s="401">
        <f t="shared" si="2"/>
        <v>3.3333333333333333E-2</v>
      </c>
      <c r="I69" s="402">
        <f t="shared" si="3"/>
        <v>1.3333333333333334E-2</v>
      </c>
      <c r="J69" s="101"/>
      <c r="K69" s="402">
        <f t="shared" si="4"/>
        <v>1.3333333333333334E-2</v>
      </c>
      <c r="L69" s="379">
        <f t="shared" si="11"/>
        <v>17</v>
      </c>
      <c r="M69" s="379">
        <f t="shared" si="12"/>
        <v>23</v>
      </c>
      <c r="N69" s="379">
        <f t="shared" si="13"/>
        <v>2</v>
      </c>
      <c r="O69" s="379">
        <f t="shared" si="14"/>
        <v>2</v>
      </c>
      <c r="P69" s="379">
        <f t="shared" si="15"/>
        <v>2</v>
      </c>
      <c r="Q69" s="404">
        <f t="shared" si="16"/>
        <v>0</v>
      </c>
      <c r="R69" s="416">
        <f t="shared" si="23"/>
        <v>1.1594202898550724E-3</v>
      </c>
      <c r="S69" s="407">
        <f t="shared" si="24"/>
        <v>0.02</v>
      </c>
      <c r="V69" s="90">
        <f t="shared" si="27"/>
        <v>2048</v>
      </c>
      <c r="W69" s="154">
        <f t="shared" ref="W69" si="62">W68</f>
        <v>0.02</v>
      </c>
      <c r="X69" s="244">
        <f t="shared" si="17"/>
        <v>1.1594202898550724E-3</v>
      </c>
      <c r="Y69" t="s">
        <v>82</v>
      </c>
      <c r="AB69" s="91">
        <f t="shared" si="28"/>
        <v>2048</v>
      </c>
      <c r="AC69" s="88">
        <f t="shared" si="7"/>
        <v>1.1594202898550724E-3</v>
      </c>
      <c r="AD69" s="91">
        <f t="shared" si="29"/>
        <v>2048</v>
      </c>
      <c r="AE69" s="89">
        <v>0</v>
      </c>
      <c r="AF69" s="91">
        <f t="shared" si="30"/>
        <v>2048</v>
      </c>
      <c r="AG69" s="182">
        <v>0</v>
      </c>
      <c r="AH69" s="91">
        <f t="shared" si="31"/>
        <v>2048</v>
      </c>
      <c r="AI69" s="183">
        <f t="shared" si="32"/>
        <v>5.7971014492753622E-4</v>
      </c>
      <c r="AJ69" s="91">
        <f t="shared" si="33"/>
        <v>2048</v>
      </c>
      <c r="AK69" s="182">
        <f>X69*0.5</f>
        <v>5.7971014492753622E-4</v>
      </c>
      <c r="AL69" s="92">
        <v>2048</v>
      </c>
      <c r="AM69" s="95">
        <f t="shared" si="34"/>
        <v>2.8985507246376811E-4</v>
      </c>
      <c r="AN69" s="41">
        <f t="shared" si="52"/>
        <v>0.25</v>
      </c>
      <c r="AQ69" s="176">
        <v>2015</v>
      </c>
      <c r="AR69" s="176">
        <v>260.60000000000002</v>
      </c>
      <c r="AS69" s="180">
        <v>3.1</v>
      </c>
      <c r="AT69" s="180">
        <v>1.2</v>
      </c>
      <c r="AU69" s="180">
        <v>41.4</v>
      </c>
    </row>
    <row r="70" spans="2:47" ht="21">
      <c r="B70" s="162">
        <f t="shared" si="9"/>
        <v>2049</v>
      </c>
      <c r="C70" s="386">
        <f t="shared" si="10"/>
        <v>0.02</v>
      </c>
      <c r="D70" s="398">
        <v>0.05</v>
      </c>
      <c r="E70" s="399">
        <f t="shared" si="0"/>
        <v>0.02</v>
      </c>
      <c r="F70" s="101"/>
      <c r="G70" s="400">
        <f t="shared" si="1"/>
        <v>1.3333333333333334E-2</v>
      </c>
      <c r="H70" s="401">
        <f t="shared" si="2"/>
        <v>3.3333333333333333E-2</v>
      </c>
      <c r="I70" s="402">
        <f t="shared" si="3"/>
        <v>1.3333333333333334E-2</v>
      </c>
      <c r="J70" s="101"/>
      <c r="K70" s="402">
        <f t="shared" si="4"/>
        <v>1.3333333333333334E-2</v>
      </c>
      <c r="L70" s="379">
        <f t="shared" si="11"/>
        <v>17</v>
      </c>
      <c r="M70" s="379">
        <f t="shared" si="12"/>
        <v>23</v>
      </c>
      <c r="N70" s="379">
        <f t="shared" si="13"/>
        <v>2</v>
      </c>
      <c r="O70" s="379">
        <f t="shared" si="14"/>
        <v>2</v>
      </c>
      <c r="P70" s="379">
        <f t="shared" si="15"/>
        <v>2</v>
      </c>
      <c r="Q70" s="404">
        <f t="shared" si="16"/>
        <v>0</v>
      </c>
      <c r="R70" s="416">
        <f t="shared" si="23"/>
        <v>1.1594202898550724E-3</v>
      </c>
      <c r="S70" s="407">
        <f t="shared" si="24"/>
        <v>0.02</v>
      </c>
      <c r="V70" s="90">
        <f t="shared" si="27"/>
        <v>2049</v>
      </c>
      <c r="W70" s="154">
        <f t="shared" ref="W70" si="63">W69</f>
        <v>0.02</v>
      </c>
      <c r="X70" s="244">
        <f t="shared" si="17"/>
        <v>1.1594202898550724E-3</v>
      </c>
      <c r="Y70" t="s">
        <v>82</v>
      </c>
      <c r="AB70" s="91">
        <f t="shared" si="28"/>
        <v>2049</v>
      </c>
      <c r="AC70" s="88">
        <f t="shared" si="7"/>
        <v>1.1594202898550724E-3</v>
      </c>
      <c r="AD70" s="91">
        <f t="shared" si="29"/>
        <v>2049</v>
      </c>
      <c r="AE70" s="89">
        <v>0</v>
      </c>
      <c r="AF70" s="91">
        <f t="shared" si="30"/>
        <v>2049</v>
      </c>
      <c r="AG70" s="182">
        <f>X70</f>
        <v>1.1594202898550724E-3</v>
      </c>
      <c r="AH70" s="91">
        <f t="shared" si="31"/>
        <v>2049</v>
      </c>
      <c r="AI70" s="183">
        <f t="shared" si="32"/>
        <v>5.7971014492753622E-4</v>
      </c>
      <c r="AJ70" s="91">
        <f t="shared" si="33"/>
        <v>2049</v>
      </c>
      <c r="AK70" s="182">
        <f>X70*0.5</f>
        <v>5.7971014492753622E-4</v>
      </c>
      <c r="AL70" s="92">
        <v>2049</v>
      </c>
      <c r="AM70" s="95">
        <f t="shared" si="34"/>
        <v>2.8985507246376811E-4</v>
      </c>
      <c r="AN70" s="41">
        <f t="shared" si="52"/>
        <v>0.25</v>
      </c>
      <c r="AQ70" s="176">
        <v>2016</v>
      </c>
      <c r="AR70" s="176">
        <v>267.10000000000002</v>
      </c>
      <c r="AS70" s="180">
        <v>6.5</v>
      </c>
      <c r="AT70" s="180">
        <v>2.5</v>
      </c>
      <c r="AU70" s="180">
        <v>43.9</v>
      </c>
    </row>
    <row r="71" spans="2:47" ht="21">
      <c r="B71" s="162">
        <f t="shared" si="9"/>
        <v>2050</v>
      </c>
      <c r="C71" s="386">
        <f t="shared" si="10"/>
        <v>0.02</v>
      </c>
      <c r="D71" s="398">
        <v>0.05</v>
      </c>
      <c r="E71" s="399">
        <f t="shared" si="0"/>
        <v>0.02</v>
      </c>
      <c r="F71" s="101"/>
      <c r="G71" s="400">
        <f t="shared" si="1"/>
        <v>1.3333333333333334E-2</v>
      </c>
      <c r="H71" s="401">
        <f t="shared" si="2"/>
        <v>3.3333333333333333E-2</v>
      </c>
      <c r="I71" s="402">
        <f t="shared" si="3"/>
        <v>1.3333333333333334E-2</v>
      </c>
      <c r="J71" s="101"/>
      <c r="K71" s="402">
        <f t="shared" si="4"/>
        <v>1.3333333333333334E-2</v>
      </c>
      <c r="L71" s="379">
        <f t="shared" si="11"/>
        <v>17</v>
      </c>
      <c r="M71" s="379">
        <f t="shared" si="12"/>
        <v>23</v>
      </c>
      <c r="N71" s="379">
        <f t="shared" si="13"/>
        <v>2</v>
      </c>
      <c r="O71" s="379">
        <f t="shared" si="14"/>
        <v>2</v>
      </c>
      <c r="P71" s="379">
        <f t="shared" si="15"/>
        <v>2</v>
      </c>
      <c r="Q71" s="404">
        <f t="shared" si="16"/>
        <v>0</v>
      </c>
      <c r="R71" s="416">
        <f t="shared" si="23"/>
        <v>1.1594202898550724E-3</v>
      </c>
      <c r="S71" s="407">
        <f t="shared" si="24"/>
        <v>0.02</v>
      </c>
      <c r="V71" s="90">
        <f t="shared" si="27"/>
        <v>2050</v>
      </c>
      <c r="W71" s="154">
        <f t="shared" ref="W71" si="64">W70</f>
        <v>0.02</v>
      </c>
      <c r="X71" s="244">
        <f t="shared" si="17"/>
        <v>1.1594202898550724E-3</v>
      </c>
      <c r="Y71" t="s">
        <v>82</v>
      </c>
      <c r="AB71" s="91">
        <f t="shared" si="28"/>
        <v>2050</v>
      </c>
      <c r="AC71" s="88">
        <f t="shared" si="7"/>
        <v>1.1594202898550724E-3</v>
      </c>
      <c r="AD71" s="91">
        <f t="shared" si="29"/>
        <v>2050</v>
      </c>
      <c r="AE71" s="89">
        <v>0</v>
      </c>
      <c r="AF71" s="91">
        <f t="shared" si="30"/>
        <v>2050</v>
      </c>
      <c r="AG71" s="182">
        <v>0</v>
      </c>
      <c r="AH71" s="91">
        <f t="shared" si="31"/>
        <v>2050</v>
      </c>
      <c r="AI71" s="183">
        <f t="shared" si="32"/>
        <v>5.7971014492753622E-4</v>
      </c>
      <c r="AJ71" s="91">
        <f t="shared" si="33"/>
        <v>2050</v>
      </c>
      <c r="AK71" s="182">
        <f>X71</f>
        <v>1.1594202898550724E-3</v>
      </c>
      <c r="AL71" s="92">
        <v>2050</v>
      </c>
      <c r="AM71" s="95">
        <f t="shared" si="34"/>
        <v>2.8985507246376811E-4</v>
      </c>
      <c r="AN71" s="41">
        <f t="shared" si="52"/>
        <v>0.25</v>
      </c>
      <c r="AQ71" s="176">
        <v>2017</v>
      </c>
      <c r="AR71" s="176">
        <v>278.10000000000002</v>
      </c>
      <c r="AS71" s="180">
        <v>11</v>
      </c>
      <c r="AT71" s="180">
        <v>4.0999999999999996</v>
      </c>
      <c r="AU71" s="180">
        <v>48</v>
      </c>
    </row>
    <row r="72" spans="2:47" ht="21">
      <c r="B72" s="162">
        <f t="shared" si="9"/>
        <v>2051</v>
      </c>
      <c r="C72" s="386">
        <f t="shared" si="10"/>
        <v>0.02</v>
      </c>
      <c r="D72" s="398">
        <v>0.05</v>
      </c>
      <c r="E72" s="399">
        <f t="shared" si="0"/>
        <v>0.02</v>
      </c>
      <c r="F72" s="101"/>
      <c r="G72" s="400">
        <f t="shared" si="1"/>
        <v>1.3333333333333334E-2</v>
      </c>
      <c r="H72" s="401">
        <f t="shared" si="2"/>
        <v>3.3333333333333333E-2</v>
      </c>
      <c r="I72" s="402">
        <f t="shared" si="3"/>
        <v>1.3333333333333334E-2</v>
      </c>
      <c r="J72" s="101"/>
      <c r="K72" s="402">
        <f t="shared" si="4"/>
        <v>1.3333333333333334E-2</v>
      </c>
      <c r="L72" s="379">
        <f t="shared" si="11"/>
        <v>17</v>
      </c>
      <c r="M72" s="379">
        <f t="shared" si="12"/>
        <v>23</v>
      </c>
      <c r="N72" s="379">
        <f t="shared" si="13"/>
        <v>2</v>
      </c>
      <c r="O72" s="379">
        <f t="shared" si="14"/>
        <v>2</v>
      </c>
      <c r="P72" s="379">
        <f t="shared" si="15"/>
        <v>2</v>
      </c>
      <c r="Q72" s="404">
        <f t="shared" si="16"/>
        <v>0</v>
      </c>
      <c r="R72" s="416">
        <f t="shared" si="23"/>
        <v>1.1594202898550724E-3</v>
      </c>
      <c r="S72" s="407">
        <f t="shared" si="24"/>
        <v>0.02</v>
      </c>
      <c r="V72" s="90">
        <f t="shared" si="27"/>
        <v>2051</v>
      </c>
      <c r="W72" s="154">
        <f t="shared" ref="W72" si="65">W71</f>
        <v>0.02</v>
      </c>
      <c r="X72" s="244">
        <f t="shared" si="17"/>
        <v>1.1594202898550724E-3</v>
      </c>
      <c r="Y72" t="s">
        <v>82</v>
      </c>
      <c r="AB72" s="91">
        <f t="shared" si="28"/>
        <v>2051</v>
      </c>
      <c r="AC72" s="88">
        <f t="shared" si="7"/>
        <v>1.1594202898550724E-3</v>
      </c>
      <c r="AD72" s="91">
        <f t="shared" si="29"/>
        <v>2051</v>
      </c>
      <c r="AE72" s="89">
        <v>0</v>
      </c>
      <c r="AF72" s="91">
        <f t="shared" si="30"/>
        <v>2051</v>
      </c>
      <c r="AG72" s="182">
        <f>X72</f>
        <v>1.1594202898550724E-3</v>
      </c>
      <c r="AH72" s="91">
        <f t="shared" si="31"/>
        <v>2051</v>
      </c>
      <c r="AI72" s="183">
        <f t="shared" si="32"/>
        <v>5.7971014492753622E-4</v>
      </c>
      <c r="AJ72" s="91">
        <f t="shared" si="33"/>
        <v>2051</v>
      </c>
      <c r="AK72" s="182">
        <f>X72*0.5</f>
        <v>5.7971014492753622E-4</v>
      </c>
      <c r="AL72" s="92">
        <v>2051</v>
      </c>
      <c r="AM72" s="95">
        <f t="shared" si="34"/>
        <v>2.8985507246376811E-4</v>
      </c>
      <c r="AN72" s="41">
        <f t="shared" si="52"/>
        <v>0.25</v>
      </c>
      <c r="AQ72" s="176">
        <v>2018</v>
      </c>
      <c r="AR72" s="176">
        <v>285.60000000000002</v>
      </c>
      <c r="AS72" s="180">
        <v>7.5</v>
      </c>
      <c r="AT72" s="180">
        <v>2.7</v>
      </c>
      <c r="AU72" s="180">
        <v>50.7</v>
      </c>
    </row>
    <row r="73" spans="2:47" ht="21">
      <c r="B73" s="162">
        <f t="shared" si="9"/>
        <v>2052</v>
      </c>
      <c r="C73" s="386">
        <f t="shared" si="10"/>
        <v>0.02</v>
      </c>
      <c r="D73" s="398">
        <v>0.05</v>
      </c>
      <c r="E73" s="399">
        <f t="shared" si="0"/>
        <v>0.02</v>
      </c>
      <c r="F73" s="101"/>
      <c r="G73" s="400">
        <f t="shared" si="1"/>
        <v>1.3333333333333334E-2</v>
      </c>
      <c r="H73" s="401">
        <f t="shared" si="2"/>
        <v>3.3333333333333333E-2</v>
      </c>
      <c r="I73" s="402">
        <f t="shared" si="3"/>
        <v>1.3333333333333334E-2</v>
      </c>
      <c r="J73" s="101"/>
      <c r="K73" s="402">
        <f t="shared" si="4"/>
        <v>1.3333333333333334E-2</v>
      </c>
      <c r="L73" s="379">
        <f t="shared" si="11"/>
        <v>17</v>
      </c>
      <c r="M73" s="379">
        <f t="shared" si="12"/>
        <v>23</v>
      </c>
      <c r="N73" s="379">
        <f t="shared" si="13"/>
        <v>2</v>
      </c>
      <c r="O73" s="379">
        <f t="shared" si="14"/>
        <v>2</v>
      </c>
      <c r="P73" s="379">
        <f t="shared" si="15"/>
        <v>2</v>
      </c>
      <c r="Q73" s="404">
        <f t="shared" si="16"/>
        <v>0</v>
      </c>
      <c r="R73" s="416">
        <f t="shared" si="23"/>
        <v>1.1594202898550724E-3</v>
      </c>
      <c r="S73" s="407">
        <f t="shared" si="24"/>
        <v>0.02</v>
      </c>
      <c r="V73" s="90">
        <f t="shared" si="27"/>
        <v>2052</v>
      </c>
      <c r="W73" s="154">
        <f t="shared" ref="W73" si="66">W72</f>
        <v>0.02</v>
      </c>
      <c r="X73" s="244">
        <f t="shared" si="17"/>
        <v>1.1594202898550724E-3</v>
      </c>
      <c r="Y73" t="s">
        <v>82</v>
      </c>
      <c r="AB73" s="91">
        <f t="shared" si="28"/>
        <v>2052</v>
      </c>
      <c r="AC73" s="88">
        <f t="shared" si="7"/>
        <v>1.1594202898550724E-3</v>
      </c>
      <c r="AD73" s="91">
        <f t="shared" si="29"/>
        <v>2052</v>
      </c>
      <c r="AE73" s="89">
        <v>0</v>
      </c>
      <c r="AF73" s="91">
        <f t="shared" si="30"/>
        <v>2052</v>
      </c>
      <c r="AG73" s="182">
        <v>0</v>
      </c>
      <c r="AH73" s="91">
        <f t="shared" si="31"/>
        <v>2052</v>
      </c>
      <c r="AI73" s="183">
        <f t="shared" si="32"/>
        <v>5.7971014492753622E-4</v>
      </c>
      <c r="AJ73" s="91">
        <f t="shared" si="33"/>
        <v>2052</v>
      </c>
      <c r="AK73" s="182">
        <f>X73*0.5</f>
        <v>5.7971014492753622E-4</v>
      </c>
      <c r="AL73" s="92">
        <v>2052</v>
      </c>
      <c r="AM73" s="95">
        <f t="shared" si="34"/>
        <v>2.8985507246376811E-4</v>
      </c>
      <c r="AN73" s="41">
        <f t="shared" si="52"/>
        <v>0.25</v>
      </c>
      <c r="AQ73" s="176">
        <v>2019</v>
      </c>
      <c r="AR73" s="176">
        <v>291.89999999999998</v>
      </c>
      <c r="AS73" s="180">
        <v>6.3</v>
      </c>
      <c r="AT73" s="180">
        <v>2.2000000000000002</v>
      </c>
      <c r="AU73" s="180">
        <v>52.9</v>
      </c>
    </row>
    <row r="74" spans="2:47" ht="21">
      <c r="B74" s="162">
        <f t="shared" si="9"/>
        <v>2053</v>
      </c>
      <c r="C74" s="386">
        <f t="shared" si="10"/>
        <v>0.02</v>
      </c>
      <c r="D74" s="398">
        <v>0.05</v>
      </c>
      <c r="E74" s="399">
        <f t="shared" ref="E74:E81" si="67">IF(C74&lt;D74,C74,D74)</f>
        <v>0.02</v>
      </c>
      <c r="F74" s="101"/>
      <c r="G74" s="400">
        <f t="shared" ref="G74:G81" si="68">(C74/3)*2</f>
        <v>1.3333333333333334E-2</v>
      </c>
      <c r="H74" s="401">
        <f t="shared" ref="H74:H81" si="69">D74/3*2</f>
        <v>3.3333333333333333E-2</v>
      </c>
      <c r="I74" s="402">
        <f t="shared" ref="I74:I81" si="70">IF(G74&lt;H74,G74,H74)</f>
        <v>1.3333333333333334E-2</v>
      </c>
      <c r="J74" s="101"/>
      <c r="K74" s="402">
        <f t="shared" ref="K74:K81" si="71">I74</f>
        <v>1.3333333333333334E-2</v>
      </c>
      <c r="L74" s="379">
        <f t="shared" si="11"/>
        <v>17</v>
      </c>
      <c r="M74" s="379">
        <f t="shared" si="12"/>
        <v>23</v>
      </c>
      <c r="N74" s="379">
        <f t="shared" si="13"/>
        <v>2</v>
      </c>
      <c r="O74" s="379">
        <f t="shared" si="14"/>
        <v>2</v>
      </c>
      <c r="P74" s="379">
        <f t="shared" si="15"/>
        <v>2</v>
      </c>
      <c r="Q74" s="404">
        <f t="shared" si="16"/>
        <v>0</v>
      </c>
      <c r="R74" s="416">
        <f t="shared" ref="R74:R81" si="72">IF($F$5&lt;1998,I74,((Q74+((L74-Q74)*(P74/M74)))/L74)*K74)</f>
        <v>1.1594202898550724E-3</v>
      </c>
      <c r="S74" s="407">
        <f t="shared" ref="S74:S81" si="73">E74</f>
        <v>0.02</v>
      </c>
      <c r="V74" s="90">
        <f t="shared" si="27"/>
        <v>2053</v>
      </c>
      <c r="W74" s="154">
        <f t="shared" ref="W74" si="74">W73</f>
        <v>0.02</v>
      </c>
      <c r="X74" s="244">
        <f t="shared" si="17"/>
        <v>1.1594202898550724E-3</v>
      </c>
      <c r="Y74" t="s">
        <v>82</v>
      </c>
      <c r="AB74" s="91">
        <f t="shared" si="28"/>
        <v>2053</v>
      </c>
      <c r="AC74" s="88">
        <f t="shared" ref="AC74:AC81" si="75">X74</f>
        <v>1.1594202898550724E-3</v>
      </c>
      <c r="AD74" s="91">
        <f t="shared" si="29"/>
        <v>2053</v>
      </c>
      <c r="AE74" s="89">
        <v>0</v>
      </c>
      <c r="AF74" s="91">
        <f t="shared" si="30"/>
        <v>2053</v>
      </c>
      <c r="AG74" s="182">
        <f>X74</f>
        <v>1.1594202898550724E-3</v>
      </c>
      <c r="AH74" s="91">
        <f t="shared" si="31"/>
        <v>2053</v>
      </c>
      <c r="AI74" s="183">
        <f t="shared" si="32"/>
        <v>5.7971014492753622E-4</v>
      </c>
      <c r="AJ74" s="91">
        <f t="shared" si="33"/>
        <v>2053</v>
      </c>
      <c r="AK74" s="182">
        <f>X74</f>
        <v>1.1594202898550724E-3</v>
      </c>
      <c r="AL74" s="92">
        <v>2053</v>
      </c>
      <c r="AM74" s="95">
        <f t="shared" si="34"/>
        <v>2.8985507246376811E-4</v>
      </c>
      <c r="AN74" s="41">
        <f t="shared" si="52"/>
        <v>0.25</v>
      </c>
      <c r="AQ74" s="176">
        <v>2020</v>
      </c>
      <c r="AR74" s="176">
        <v>294.3</v>
      </c>
      <c r="AS74" s="180">
        <v>2.4</v>
      </c>
      <c r="AT74" s="180">
        <v>0.8</v>
      </c>
      <c r="AU74" s="180">
        <v>53.7</v>
      </c>
    </row>
    <row r="75" spans="2:47" ht="21">
      <c r="B75" s="162">
        <f t="shared" ref="B75:B81" si="76">V75</f>
        <v>2054</v>
      </c>
      <c r="C75" s="386">
        <f t="shared" ref="C75:C81" si="77">W75</f>
        <v>0.02</v>
      </c>
      <c r="D75" s="398">
        <v>0.05</v>
      </c>
      <c r="E75" s="399">
        <f t="shared" si="67"/>
        <v>0.02</v>
      </c>
      <c r="F75" s="101"/>
      <c r="G75" s="400">
        <f t="shared" si="68"/>
        <v>1.3333333333333334E-2</v>
      </c>
      <c r="H75" s="401">
        <f t="shared" si="69"/>
        <v>3.3333333333333333E-2</v>
      </c>
      <c r="I75" s="402">
        <f t="shared" si="70"/>
        <v>1.3333333333333334E-2</v>
      </c>
      <c r="J75" s="101"/>
      <c r="K75" s="402">
        <f t="shared" si="71"/>
        <v>1.3333333333333334E-2</v>
      </c>
      <c r="L75" s="379">
        <f t="shared" ref="L75:L81" si="78">L74</f>
        <v>17</v>
      </c>
      <c r="M75" s="379">
        <f t="shared" ref="M75:M81" si="79">M74</f>
        <v>23</v>
      </c>
      <c r="N75" s="379">
        <f t="shared" ref="N75:N81" si="80">N74</f>
        <v>2</v>
      </c>
      <c r="O75" s="379">
        <f t="shared" ref="O75:O81" si="81">O74</f>
        <v>2</v>
      </c>
      <c r="P75" s="379">
        <f t="shared" ref="P75:P81" si="82">P74</f>
        <v>2</v>
      </c>
      <c r="Q75" s="404">
        <f t="shared" ref="Q75:Q81" si="83">Q74</f>
        <v>0</v>
      </c>
      <c r="R75" s="416">
        <f t="shared" si="72"/>
        <v>1.1594202898550724E-3</v>
      </c>
      <c r="S75" s="407">
        <f t="shared" si="73"/>
        <v>0.02</v>
      </c>
      <c r="V75" s="90">
        <f t="shared" si="27"/>
        <v>2054</v>
      </c>
      <c r="W75" s="154">
        <f t="shared" ref="W75" si="84">W74</f>
        <v>0.02</v>
      </c>
      <c r="X75" s="244">
        <f t="shared" ref="X75:X81" si="85">R75</f>
        <v>1.1594202898550724E-3</v>
      </c>
      <c r="Y75" t="s">
        <v>82</v>
      </c>
      <c r="AB75" s="91">
        <f t="shared" si="28"/>
        <v>2054</v>
      </c>
      <c r="AC75" s="88">
        <f t="shared" si="75"/>
        <v>1.1594202898550724E-3</v>
      </c>
      <c r="AD75" s="91">
        <f t="shared" si="29"/>
        <v>2054</v>
      </c>
      <c r="AE75" s="89">
        <v>0</v>
      </c>
      <c r="AF75" s="91">
        <f t="shared" si="30"/>
        <v>2054</v>
      </c>
      <c r="AG75" s="182">
        <v>0</v>
      </c>
      <c r="AH75" s="91">
        <f t="shared" si="31"/>
        <v>2054</v>
      </c>
      <c r="AI75" s="183">
        <f t="shared" si="32"/>
        <v>5.7971014492753622E-4</v>
      </c>
      <c r="AJ75" s="91">
        <f t="shared" si="33"/>
        <v>2054</v>
      </c>
      <c r="AK75" s="182">
        <f>X75*0.5</f>
        <v>5.7971014492753622E-4</v>
      </c>
      <c r="AL75" s="92">
        <v>2054</v>
      </c>
      <c r="AM75" s="95">
        <f t="shared" si="34"/>
        <v>2.8985507246376811E-4</v>
      </c>
      <c r="AN75" s="41">
        <v>0.25</v>
      </c>
    </row>
    <row r="76" spans="2:47" ht="21">
      <c r="B76" s="162">
        <f t="shared" si="76"/>
        <v>2055</v>
      </c>
      <c r="C76" s="386">
        <f t="shared" si="77"/>
        <v>0.02</v>
      </c>
      <c r="D76" s="398">
        <v>0.05</v>
      </c>
      <c r="E76" s="399">
        <f t="shared" si="67"/>
        <v>0.02</v>
      </c>
      <c r="F76" s="101"/>
      <c r="G76" s="400">
        <f t="shared" si="68"/>
        <v>1.3333333333333334E-2</v>
      </c>
      <c r="H76" s="401">
        <f t="shared" si="69"/>
        <v>3.3333333333333333E-2</v>
      </c>
      <c r="I76" s="402">
        <f t="shared" si="70"/>
        <v>1.3333333333333334E-2</v>
      </c>
      <c r="J76" s="101"/>
      <c r="K76" s="402">
        <f t="shared" si="71"/>
        <v>1.3333333333333334E-2</v>
      </c>
      <c r="L76" s="379">
        <f t="shared" si="78"/>
        <v>17</v>
      </c>
      <c r="M76" s="379">
        <f t="shared" si="79"/>
        <v>23</v>
      </c>
      <c r="N76" s="379">
        <f t="shared" si="80"/>
        <v>2</v>
      </c>
      <c r="O76" s="379">
        <f t="shared" si="81"/>
        <v>2</v>
      </c>
      <c r="P76" s="379">
        <f t="shared" si="82"/>
        <v>2</v>
      </c>
      <c r="Q76" s="404">
        <f t="shared" si="83"/>
        <v>0</v>
      </c>
      <c r="R76" s="416">
        <f t="shared" si="72"/>
        <v>1.1594202898550724E-3</v>
      </c>
      <c r="S76" s="407">
        <f t="shared" si="73"/>
        <v>0.02</v>
      </c>
      <c r="V76" s="90">
        <f t="shared" si="27"/>
        <v>2055</v>
      </c>
      <c r="W76" s="154">
        <f t="shared" ref="W76" si="86">W75</f>
        <v>0.02</v>
      </c>
      <c r="X76" s="244">
        <f t="shared" si="85"/>
        <v>1.1594202898550724E-3</v>
      </c>
      <c r="Y76" t="s">
        <v>82</v>
      </c>
      <c r="AB76" s="91">
        <f t="shared" si="28"/>
        <v>2055</v>
      </c>
      <c r="AC76" s="88">
        <f t="shared" si="75"/>
        <v>1.1594202898550724E-3</v>
      </c>
      <c r="AD76" s="91">
        <f t="shared" si="29"/>
        <v>2055</v>
      </c>
      <c r="AE76" s="89">
        <v>0</v>
      </c>
      <c r="AF76" s="91">
        <f t="shared" si="30"/>
        <v>2055</v>
      </c>
      <c r="AG76" s="182">
        <f>X76</f>
        <v>1.1594202898550724E-3</v>
      </c>
      <c r="AH76" s="91">
        <f t="shared" si="31"/>
        <v>2055</v>
      </c>
      <c r="AI76" s="183">
        <f t="shared" si="32"/>
        <v>5.7971014492753622E-4</v>
      </c>
      <c r="AJ76" s="91">
        <f t="shared" si="33"/>
        <v>2055</v>
      </c>
      <c r="AK76" s="182">
        <f>X76*0.5</f>
        <v>5.7971014492753622E-4</v>
      </c>
      <c r="AL76" s="92">
        <v>2055</v>
      </c>
      <c r="AM76" s="95">
        <f t="shared" si="34"/>
        <v>2.8985507246376811E-4</v>
      </c>
      <c r="AN76" s="41">
        <f>AN75</f>
        <v>0.25</v>
      </c>
    </row>
    <row r="77" spans="2:47" ht="21">
      <c r="B77" s="162">
        <f t="shared" si="76"/>
        <v>2056</v>
      </c>
      <c r="C77" s="386">
        <f t="shared" si="77"/>
        <v>0.02</v>
      </c>
      <c r="D77" s="398">
        <v>0.05</v>
      </c>
      <c r="E77" s="399">
        <f t="shared" si="67"/>
        <v>0.02</v>
      </c>
      <c r="F77" s="101"/>
      <c r="G77" s="400">
        <f t="shared" si="68"/>
        <v>1.3333333333333334E-2</v>
      </c>
      <c r="H77" s="401">
        <f t="shared" si="69"/>
        <v>3.3333333333333333E-2</v>
      </c>
      <c r="I77" s="402">
        <f t="shared" si="70"/>
        <v>1.3333333333333334E-2</v>
      </c>
      <c r="J77" s="101"/>
      <c r="K77" s="402">
        <f t="shared" si="71"/>
        <v>1.3333333333333334E-2</v>
      </c>
      <c r="L77" s="379">
        <f t="shared" si="78"/>
        <v>17</v>
      </c>
      <c r="M77" s="379">
        <f t="shared" si="79"/>
        <v>23</v>
      </c>
      <c r="N77" s="379">
        <f t="shared" si="80"/>
        <v>2</v>
      </c>
      <c r="O77" s="379">
        <f t="shared" si="81"/>
        <v>2</v>
      </c>
      <c r="P77" s="379">
        <f t="shared" si="82"/>
        <v>2</v>
      </c>
      <c r="Q77" s="404">
        <f t="shared" si="83"/>
        <v>0</v>
      </c>
      <c r="R77" s="416">
        <f t="shared" si="72"/>
        <v>1.1594202898550724E-3</v>
      </c>
      <c r="S77" s="407">
        <f t="shared" si="73"/>
        <v>0.02</v>
      </c>
      <c r="V77" s="90">
        <f t="shared" si="27"/>
        <v>2056</v>
      </c>
      <c r="W77" s="154">
        <f t="shared" ref="W77" si="87">W76</f>
        <v>0.02</v>
      </c>
      <c r="X77" s="244">
        <f t="shared" si="85"/>
        <v>1.1594202898550724E-3</v>
      </c>
      <c r="Y77" t="s">
        <v>82</v>
      </c>
      <c r="AB77" s="91">
        <f t="shared" si="28"/>
        <v>2056</v>
      </c>
      <c r="AC77" s="88">
        <f t="shared" si="75"/>
        <v>1.1594202898550724E-3</v>
      </c>
      <c r="AD77" s="91">
        <f t="shared" si="29"/>
        <v>2056</v>
      </c>
      <c r="AE77" s="89">
        <v>0</v>
      </c>
      <c r="AF77" s="91">
        <f t="shared" si="30"/>
        <v>2056</v>
      </c>
      <c r="AG77" s="182">
        <v>0</v>
      </c>
      <c r="AH77" s="91">
        <f t="shared" si="31"/>
        <v>2056</v>
      </c>
      <c r="AI77" s="183">
        <f t="shared" si="32"/>
        <v>5.7971014492753622E-4</v>
      </c>
      <c r="AJ77" s="91">
        <f t="shared" si="33"/>
        <v>2056</v>
      </c>
      <c r="AK77" s="182">
        <f>X77</f>
        <v>1.1594202898550724E-3</v>
      </c>
      <c r="AL77" s="92">
        <v>2056</v>
      </c>
      <c r="AM77" s="95">
        <f t="shared" si="34"/>
        <v>2.8985507246376811E-4</v>
      </c>
      <c r="AN77" s="41">
        <f t="shared" ref="AN77:AN81" si="88">AN76</f>
        <v>0.25</v>
      </c>
    </row>
    <row r="78" spans="2:47" ht="21">
      <c r="B78" s="162">
        <f t="shared" si="76"/>
        <v>2057</v>
      </c>
      <c r="C78" s="386">
        <f t="shared" si="77"/>
        <v>0.02</v>
      </c>
      <c r="D78" s="398">
        <v>0.05</v>
      </c>
      <c r="E78" s="399">
        <f t="shared" si="67"/>
        <v>0.02</v>
      </c>
      <c r="F78" s="101"/>
      <c r="G78" s="400">
        <f t="shared" si="68"/>
        <v>1.3333333333333334E-2</v>
      </c>
      <c r="H78" s="401">
        <f t="shared" si="69"/>
        <v>3.3333333333333333E-2</v>
      </c>
      <c r="I78" s="402">
        <f t="shared" si="70"/>
        <v>1.3333333333333334E-2</v>
      </c>
      <c r="J78" s="101"/>
      <c r="K78" s="402">
        <f t="shared" si="71"/>
        <v>1.3333333333333334E-2</v>
      </c>
      <c r="L78" s="379">
        <f t="shared" si="78"/>
        <v>17</v>
      </c>
      <c r="M78" s="379">
        <f t="shared" si="79"/>
        <v>23</v>
      </c>
      <c r="N78" s="379">
        <f t="shared" si="80"/>
        <v>2</v>
      </c>
      <c r="O78" s="379">
        <f t="shared" si="81"/>
        <v>2</v>
      </c>
      <c r="P78" s="379">
        <f t="shared" si="82"/>
        <v>2</v>
      </c>
      <c r="Q78" s="404">
        <f t="shared" si="83"/>
        <v>0</v>
      </c>
      <c r="R78" s="416">
        <f t="shared" si="72"/>
        <v>1.1594202898550724E-3</v>
      </c>
      <c r="S78" s="407">
        <f t="shared" si="73"/>
        <v>0.02</v>
      </c>
      <c r="V78" s="90">
        <f t="shared" si="27"/>
        <v>2057</v>
      </c>
      <c r="W78" s="154">
        <f t="shared" ref="W78" si="89">W77</f>
        <v>0.02</v>
      </c>
      <c r="X78" s="244">
        <f t="shared" si="85"/>
        <v>1.1594202898550724E-3</v>
      </c>
      <c r="Y78" t="s">
        <v>82</v>
      </c>
      <c r="AB78" s="91">
        <f t="shared" si="28"/>
        <v>2057</v>
      </c>
      <c r="AC78" s="88">
        <f t="shared" si="75"/>
        <v>1.1594202898550724E-3</v>
      </c>
      <c r="AD78" s="91">
        <f t="shared" si="29"/>
        <v>2057</v>
      </c>
      <c r="AE78" s="89">
        <v>0</v>
      </c>
      <c r="AF78" s="91">
        <f t="shared" si="30"/>
        <v>2057</v>
      </c>
      <c r="AG78" s="182">
        <f>X78</f>
        <v>1.1594202898550724E-3</v>
      </c>
      <c r="AH78" s="91">
        <f t="shared" si="31"/>
        <v>2057</v>
      </c>
      <c r="AI78" s="183">
        <f t="shared" si="32"/>
        <v>5.7971014492753622E-4</v>
      </c>
      <c r="AJ78" s="91">
        <f t="shared" si="33"/>
        <v>2057</v>
      </c>
      <c r="AK78" s="182">
        <f>X78*0.5</f>
        <v>5.7971014492753622E-4</v>
      </c>
      <c r="AL78" s="92">
        <v>2057</v>
      </c>
      <c r="AM78" s="95">
        <f t="shared" si="34"/>
        <v>2.8985507246376811E-4</v>
      </c>
      <c r="AN78" s="41">
        <f t="shared" si="88"/>
        <v>0.25</v>
      </c>
    </row>
    <row r="79" spans="2:47" ht="21">
      <c r="B79" s="162">
        <f t="shared" si="76"/>
        <v>2058</v>
      </c>
      <c r="C79" s="386">
        <f t="shared" si="77"/>
        <v>0.02</v>
      </c>
      <c r="D79" s="398">
        <v>0.05</v>
      </c>
      <c r="E79" s="399">
        <f t="shared" si="67"/>
        <v>0.02</v>
      </c>
      <c r="F79" s="101"/>
      <c r="G79" s="400">
        <f t="shared" si="68"/>
        <v>1.3333333333333334E-2</v>
      </c>
      <c r="H79" s="401">
        <f t="shared" si="69"/>
        <v>3.3333333333333333E-2</v>
      </c>
      <c r="I79" s="402">
        <f t="shared" si="70"/>
        <v>1.3333333333333334E-2</v>
      </c>
      <c r="J79" s="101"/>
      <c r="K79" s="402">
        <f t="shared" si="71"/>
        <v>1.3333333333333334E-2</v>
      </c>
      <c r="L79" s="379">
        <f t="shared" si="78"/>
        <v>17</v>
      </c>
      <c r="M79" s="379">
        <f t="shared" si="79"/>
        <v>23</v>
      </c>
      <c r="N79" s="379">
        <f t="shared" si="80"/>
        <v>2</v>
      </c>
      <c r="O79" s="379">
        <f t="shared" si="81"/>
        <v>2</v>
      </c>
      <c r="P79" s="379">
        <f t="shared" si="82"/>
        <v>2</v>
      </c>
      <c r="Q79" s="404">
        <f t="shared" si="83"/>
        <v>0</v>
      </c>
      <c r="R79" s="416">
        <f t="shared" si="72"/>
        <v>1.1594202898550724E-3</v>
      </c>
      <c r="S79" s="407">
        <f t="shared" si="73"/>
        <v>0.02</v>
      </c>
      <c r="V79" s="90">
        <f t="shared" si="27"/>
        <v>2058</v>
      </c>
      <c r="W79" s="154">
        <f t="shared" ref="W79" si="90">W78</f>
        <v>0.02</v>
      </c>
      <c r="X79" s="244">
        <f t="shared" si="85"/>
        <v>1.1594202898550724E-3</v>
      </c>
      <c r="Y79" t="s">
        <v>82</v>
      </c>
      <c r="AB79" s="91">
        <f t="shared" si="28"/>
        <v>2058</v>
      </c>
      <c r="AC79" s="88">
        <f t="shared" si="75"/>
        <v>1.1594202898550724E-3</v>
      </c>
      <c r="AD79" s="91">
        <f t="shared" si="29"/>
        <v>2058</v>
      </c>
      <c r="AE79" s="84">
        <v>0.01</v>
      </c>
      <c r="AF79" s="91">
        <f t="shared" si="30"/>
        <v>2058</v>
      </c>
      <c r="AG79" s="182">
        <v>0</v>
      </c>
      <c r="AH79" s="91">
        <f t="shared" si="31"/>
        <v>2058</v>
      </c>
      <c r="AI79" s="183">
        <f t="shared" si="32"/>
        <v>5.7971014492753622E-4</v>
      </c>
      <c r="AJ79" s="91">
        <f t="shared" si="33"/>
        <v>2058</v>
      </c>
      <c r="AK79" s="182">
        <f>X79*0.5</f>
        <v>5.7971014492753622E-4</v>
      </c>
      <c r="AL79" s="92">
        <v>2058</v>
      </c>
      <c r="AM79" s="95">
        <f t="shared" si="34"/>
        <v>2.8985507246376811E-4</v>
      </c>
      <c r="AN79" s="41">
        <f t="shared" si="88"/>
        <v>0.25</v>
      </c>
    </row>
    <row r="80" spans="2:47" ht="21">
      <c r="B80" s="162">
        <f t="shared" si="76"/>
        <v>2059</v>
      </c>
      <c r="C80" s="386">
        <f t="shared" si="77"/>
        <v>0.02</v>
      </c>
      <c r="D80" s="398">
        <v>0.05</v>
      </c>
      <c r="E80" s="399">
        <f t="shared" si="67"/>
        <v>0.02</v>
      </c>
      <c r="F80" s="101"/>
      <c r="G80" s="400">
        <f t="shared" si="68"/>
        <v>1.3333333333333334E-2</v>
      </c>
      <c r="H80" s="401">
        <f t="shared" si="69"/>
        <v>3.3333333333333333E-2</v>
      </c>
      <c r="I80" s="402">
        <f t="shared" si="70"/>
        <v>1.3333333333333334E-2</v>
      </c>
      <c r="J80" s="101"/>
      <c r="K80" s="402">
        <f t="shared" si="71"/>
        <v>1.3333333333333334E-2</v>
      </c>
      <c r="L80" s="379">
        <f t="shared" si="78"/>
        <v>17</v>
      </c>
      <c r="M80" s="379">
        <f t="shared" si="79"/>
        <v>23</v>
      </c>
      <c r="N80" s="379">
        <f t="shared" si="80"/>
        <v>2</v>
      </c>
      <c r="O80" s="379">
        <f t="shared" si="81"/>
        <v>2</v>
      </c>
      <c r="P80" s="379">
        <f t="shared" si="82"/>
        <v>2</v>
      </c>
      <c r="Q80" s="404">
        <f t="shared" si="83"/>
        <v>0</v>
      </c>
      <c r="R80" s="416">
        <f t="shared" si="72"/>
        <v>1.1594202898550724E-3</v>
      </c>
      <c r="S80" s="407">
        <f t="shared" si="73"/>
        <v>0.02</v>
      </c>
      <c r="V80" s="90">
        <f t="shared" si="27"/>
        <v>2059</v>
      </c>
      <c r="W80" s="154">
        <f t="shared" ref="W80" si="91">W79</f>
        <v>0.02</v>
      </c>
      <c r="X80" s="244">
        <f t="shared" si="85"/>
        <v>1.1594202898550724E-3</v>
      </c>
      <c r="Y80" t="s">
        <v>82</v>
      </c>
      <c r="AB80" s="91">
        <f t="shared" si="28"/>
        <v>2059</v>
      </c>
      <c r="AC80" s="88">
        <f t="shared" si="75"/>
        <v>1.1594202898550724E-3</v>
      </c>
      <c r="AD80" s="91">
        <f t="shared" si="29"/>
        <v>2059</v>
      </c>
      <c r="AE80" s="89">
        <v>0</v>
      </c>
      <c r="AF80" s="91">
        <f t="shared" si="30"/>
        <v>2059</v>
      </c>
      <c r="AG80" s="182">
        <f>X80</f>
        <v>1.1594202898550724E-3</v>
      </c>
      <c r="AH80" s="91">
        <f t="shared" si="31"/>
        <v>2059</v>
      </c>
      <c r="AI80" s="183">
        <f t="shared" si="32"/>
        <v>5.7971014492753622E-4</v>
      </c>
      <c r="AJ80" s="91">
        <f t="shared" si="33"/>
        <v>2059</v>
      </c>
      <c r="AK80" s="182">
        <f>X80</f>
        <v>1.1594202898550724E-3</v>
      </c>
      <c r="AL80" s="92">
        <v>2059</v>
      </c>
      <c r="AM80" s="95">
        <f t="shared" si="34"/>
        <v>2.8985507246376811E-4</v>
      </c>
      <c r="AN80" s="41">
        <f t="shared" si="88"/>
        <v>0.25</v>
      </c>
    </row>
    <row r="81" spans="2:40" ht="21">
      <c r="B81" s="162">
        <f t="shared" si="76"/>
        <v>2060</v>
      </c>
      <c r="C81" s="386">
        <f t="shared" si="77"/>
        <v>0.02</v>
      </c>
      <c r="D81" s="398">
        <v>0.05</v>
      </c>
      <c r="E81" s="399">
        <f t="shared" si="67"/>
        <v>0.02</v>
      </c>
      <c r="F81" s="101"/>
      <c r="G81" s="400">
        <f t="shared" si="68"/>
        <v>1.3333333333333334E-2</v>
      </c>
      <c r="H81" s="401">
        <f t="shared" si="69"/>
        <v>3.3333333333333333E-2</v>
      </c>
      <c r="I81" s="402">
        <f t="shared" si="70"/>
        <v>1.3333333333333334E-2</v>
      </c>
      <c r="J81" s="101"/>
      <c r="K81" s="402">
        <f t="shared" si="71"/>
        <v>1.3333333333333334E-2</v>
      </c>
      <c r="L81" s="379">
        <f t="shared" si="78"/>
        <v>17</v>
      </c>
      <c r="M81" s="379">
        <f t="shared" si="79"/>
        <v>23</v>
      </c>
      <c r="N81" s="379">
        <f t="shared" si="80"/>
        <v>2</v>
      </c>
      <c r="O81" s="379">
        <f t="shared" si="81"/>
        <v>2</v>
      </c>
      <c r="P81" s="379">
        <f t="shared" si="82"/>
        <v>2</v>
      </c>
      <c r="Q81" s="404">
        <f t="shared" si="83"/>
        <v>0</v>
      </c>
      <c r="R81" s="416">
        <f t="shared" si="72"/>
        <v>1.1594202898550724E-3</v>
      </c>
      <c r="S81" s="407">
        <f t="shared" si="73"/>
        <v>0.02</v>
      </c>
      <c r="V81" s="90">
        <f t="shared" si="27"/>
        <v>2060</v>
      </c>
      <c r="W81" s="154">
        <f t="shared" ref="W81" si="92">W80</f>
        <v>0.02</v>
      </c>
      <c r="X81" s="244">
        <f t="shared" si="85"/>
        <v>1.1594202898550724E-3</v>
      </c>
      <c r="Y81" t="s">
        <v>82</v>
      </c>
      <c r="AB81" s="91">
        <f t="shared" si="28"/>
        <v>2060</v>
      </c>
      <c r="AC81" s="88">
        <f t="shared" si="75"/>
        <v>1.1594202898550724E-3</v>
      </c>
      <c r="AD81" s="91">
        <f t="shared" si="29"/>
        <v>2060</v>
      </c>
      <c r="AE81" s="89">
        <v>0</v>
      </c>
      <c r="AF81" s="91">
        <f t="shared" si="30"/>
        <v>2060</v>
      </c>
      <c r="AG81" s="182">
        <v>0</v>
      </c>
      <c r="AH81" s="91">
        <f t="shared" si="31"/>
        <v>2060</v>
      </c>
      <c r="AI81" s="183">
        <f t="shared" si="32"/>
        <v>5.7971014492753622E-4</v>
      </c>
      <c r="AJ81" s="91">
        <f t="shared" si="33"/>
        <v>2060</v>
      </c>
      <c r="AK81" s="182">
        <f>X81*0.5</f>
        <v>5.7971014492753622E-4</v>
      </c>
      <c r="AL81" s="92">
        <v>2060</v>
      </c>
      <c r="AM81" s="95">
        <f t="shared" si="34"/>
        <v>2.8985507246376811E-4</v>
      </c>
      <c r="AN81" s="41">
        <f t="shared" si="88"/>
        <v>0.25</v>
      </c>
    </row>
    <row r="87" spans="2:40">
      <c r="AA87" s="161"/>
    </row>
    <row r="90" spans="2:40" ht="15" customHeight="1">
      <c r="C90" s="471" t="s">
        <v>295</v>
      </c>
      <c r="D90" s="471"/>
      <c r="E90" s="471"/>
      <c r="F90" s="471"/>
      <c r="G90" s="471"/>
      <c r="H90" s="471"/>
      <c r="I90" s="471"/>
      <c r="J90" s="471"/>
      <c r="K90" s="471"/>
      <c r="L90" s="471"/>
      <c r="M90" s="471"/>
    </row>
    <row r="91" spans="2:40">
      <c r="C91" s="471"/>
      <c r="D91" s="471"/>
      <c r="E91" s="471"/>
      <c r="F91" s="471"/>
      <c r="G91" s="471"/>
      <c r="H91" s="471"/>
      <c r="I91" s="471"/>
      <c r="J91" s="471"/>
      <c r="K91" s="471"/>
      <c r="L91" s="471"/>
      <c r="M91" s="471"/>
      <c r="AA91" s="169"/>
      <c r="AB91" s="166"/>
    </row>
    <row r="92" spans="2:40">
      <c r="AB92" s="20"/>
    </row>
    <row r="97" spans="28:30">
      <c r="AB97" s="20"/>
      <c r="AC97" s="169"/>
      <c r="AD97" s="169"/>
    </row>
    <row r="98" spans="28:30">
      <c r="AB98" s="20"/>
      <c r="AC98" s="169"/>
      <c r="AD98" s="169"/>
    </row>
    <row r="99" spans="28:30">
      <c r="AD99" s="169"/>
    </row>
  </sheetData>
  <sheetProtection algorithmName="SHA-512" hashValue="2vRnE6FgLKSZ0cYhiUhZGR4U//74JW65Y8A9vClQWq96wooa70y+2QPhG2ZjlObZa2V6iEXGc3PXQOzCZTduzQ==" saltValue="u9vB8Z3AN63LJjDjfm9wIw==" spinCount="100000" sheet="1" objects="1" scenarios="1"/>
  <mergeCells count="44">
    <mergeCell ref="AQ6:BC6"/>
    <mergeCell ref="AL6:AN6"/>
    <mergeCell ref="V6:X6"/>
    <mergeCell ref="V7:X7"/>
    <mergeCell ref="AH6:AI6"/>
    <mergeCell ref="AH7:AI7"/>
    <mergeCell ref="X8:X9"/>
    <mergeCell ref="W8:W9"/>
    <mergeCell ref="AQ7:AU7"/>
    <mergeCell ref="AW7:BA7"/>
    <mergeCell ref="AL7:AN7"/>
    <mergeCell ref="AF7:AG7"/>
    <mergeCell ref="AD7:AE7"/>
    <mergeCell ref="AB7:AC7"/>
    <mergeCell ref="AJ7:AK7"/>
    <mergeCell ref="O3:O4"/>
    <mergeCell ref="P3:P4"/>
    <mergeCell ref="Q3:Q4"/>
    <mergeCell ref="AJ6:AK6"/>
    <mergeCell ref="AB6:AC6"/>
    <mergeCell ref="AD6:AE6"/>
    <mergeCell ref="AF6:AG6"/>
    <mergeCell ref="AB4:AN5"/>
    <mergeCell ref="J3:J4"/>
    <mergeCell ref="K3:K4"/>
    <mergeCell ref="L3:L4"/>
    <mergeCell ref="M3:M4"/>
    <mergeCell ref="N3:N4"/>
    <mergeCell ref="F3:F4"/>
    <mergeCell ref="C1:R2"/>
    <mergeCell ref="K7:Q7"/>
    <mergeCell ref="AB2:AN3"/>
    <mergeCell ref="C6:S6"/>
    <mergeCell ref="R7:R8"/>
    <mergeCell ref="S7:S8"/>
    <mergeCell ref="C7:E7"/>
    <mergeCell ref="G7:I7"/>
    <mergeCell ref="R3:R4"/>
    <mergeCell ref="C3:C4"/>
    <mergeCell ref="D3:D4"/>
    <mergeCell ref="E3:E4"/>
    <mergeCell ref="G3:G4"/>
    <mergeCell ref="H3:H4"/>
    <mergeCell ref="I3:I4"/>
  </mergeCells>
  <conditionalFormatting sqref="AC10:AC81">
    <cfRule type="cellIs" dxfId="54" priority="71" operator="equal">
      <formula>0</formula>
    </cfRule>
    <cfRule type="cellIs" dxfId="53" priority="72" operator="greaterThan">
      <formula>0</formula>
    </cfRule>
  </conditionalFormatting>
  <conditionalFormatting sqref="AE10 AE43 AE55 AE67 AE79">
    <cfRule type="cellIs" dxfId="52" priority="69" operator="equal">
      <formula>0</formula>
    </cfRule>
    <cfRule type="cellIs" dxfId="51" priority="70" operator="greaterThan">
      <formula>0</formula>
    </cfRule>
  </conditionalFormatting>
  <conditionalFormatting sqref="AG10 AG42:AG81">
    <cfRule type="cellIs" dxfId="50" priority="67" operator="greaterThan">
      <formula>0</formula>
    </cfRule>
    <cfRule type="cellIs" dxfId="49" priority="68" operator="equal">
      <formula>0</formula>
    </cfRule>
  </conditionalFormatting>
  <conditionalFormatting sqref="AI10 AI42:AI81">
    <cfRule type="cellIs" dxfId="48" priority="65" operator="greaterThan">
      <formula>0</formula>
    </cfRule>
    <cfRule type="cellIs" dxfId="47" priority="66" operator="equal">
      <formula>0</formula>
    </cfRule>
  </conditionalFormatting>
  <conditionalFormatting sqref="AK42:AK81">
    <cfRule type="cellIs" dxfId="46" priority="63" operator="greaterThan">
      <formula>0</formula>
    </cfRule>
    <cfRule type="cellIs" dxfId="45" priority="64" operator="equal">
      <formula>0</formula>
    </cfRule>
  </conditionalFormatting>
  <conditionalFormatting sqref="AM42:AM81">
    <cfRule type="cellIs" dxfId="44" priority="61" operator="equal">
      <formula>0</formula>
    </cfRule>
    <cfRule type="cellIs" dxfId="43" priority="62" operator="greaterThan">
      <formula>0</formula>
    </cfRule>
  </conditionalFormatting>
  <conditionalFormatting sqref="AE42">
    <cfRule type="cellIs" dxfId="42" priority="51" operator="equal">
      <formula>0</formula>
    </cfRule>
    <cfRule type="cellIs" dxfId="41" priority="52" operator="greaterThan">
      <formula>0</formula>
    </cfRule>
  </conditionalFormatting>
  <conditionalFormatting sqref="AE44:AE54">
    <cfRule type="cellIs" dxfId="40" priority="49" operator="equal">
      <formula>0</formula>
    </cfRule>
    <cfRule type="cellIs" dxfId="39" priority="50" operator="greaterThan">
      <formula>0</formula>
    </cfRule>
  </conditionalFormatting>
  <conditionalFormatting sqref="AE56:AE66">
    <cfRule type="cellIs" dxfId="38" priority="47" operator="equal">
      <formula>0</formula>
    </cfRule>
    <cfRule type="cellIs" dxfId="37" priority="48" operator="greaterThan">
      <formula>0</formula>
    </cfRule>
  </conditionalFormatting>
  <conditionalFormatting sqref="AE68:AE78">
    <cfRule type="cellIs" dxfId="36" priority="45" operator="equal">
      <formula>0</formula>
    </cfRule>
    <cfRule type="cellIs" dxfId="35" priority="46" operator="greaterThan">
      <formula>0</formula>
    </cfRule>
  </conditionalFormatting>
  <conditionalFormatting sqref="AE80:AE81">
    <cfRule type="cellIs" dxfId="34" priority="43" operator="equal">
      <formula>0</formula>
    </cfRule>
    <cfRule type="cellIs" dxfId="33" priority="44" operator="greaterThan">
      <formula>0</formula>
    </cfRule>
  </conditionalFormatting>
  <conditionalFormatting sqref="AE40:AE41">
    <cfRule type="cellIs" dxfId="32" priority="41" operator="equal">
      <formula>0</formula>
    </cfRule>
    <cfRule type="cellIs" dxfId="31" priority="42" operator="greaterThan">
      <formula>0</formula>
    </cfRule>
  </conditionalFormatting>
  <conditionalFormatting sqref="AG40:AG41">
    <cfRule type="cellIs" dxfId="30" priority="39" operator="equal">
      <formula>0</formula>
    </cfRule>
    <cfRule type="cellIs" dxfId="29" priority="40" operator="greaterThan">
      <formula>0</formula>
    </cfRule>
  </conditionalFormatting>
  <conditionalFormatting sqref="AI40:AI41">
    <cfRule type="cellIs" dxfId="28" priority="37" operator="equal">
      <formula>0</formula>
    </cfRule>
    <cfRule type="cellIs" dxfId="27" priority="38" operator="greaterThan">
      <formula>0</formula>
    </cfRule>
  </conditionalFormatting>
  <conditionalFormatting sqref="AK40:AK41">
    <cfRule type="cellIs" dxfId="26" priority="35" operator="equal">
      <formula>0</formula>
    </cfRule>
    <cfRule type="cellIs" dxfId="25" priority="36" operator="greaterThan">
      <formula>0</formula>
    </cfRule>
  </conditionalFormatting>
  <conditionalFormatting sqref="AM40:AM41">
    <cfRule type="cellIs" dxfId="24" priority="33" operator="equal">
      <formula>0</formula>
    </cfRule>
    <cfRule type="cellIs" dxfId="23" priority="34" operator="greaterThan">
      <formula>0</formula>
    </cfRule>
  </conditionalFormatting>
  <conditionalFormatting sqref="AE11:AE39">
    <cfRule type="cellIs" dxfId="22" priority="31" operator="equal">
      <formula>0</formula>
    </cfRule>
    <cfRule type="cellIs" dxfId="21" priority="32" operator="greaterThan">
      <formula>0</formula>
    </cfRule>
  </conditionalFormatting>
  <conditionalFormatting sqref="AG11:AG39">
    <cfRule type="cellIs" dxfId="20" priority="29" operator="greaterThan">
      <formula>0</formula>
    </cfRule>
    <cfRule type="cellIs" dxfId="19" priority="30" operator="equal">
      <formula>0</formula>
    </cfRule>
  </conditionalFormatting>
  <conditionalFormatting sqref="AM11:AM39">
    <cfRule type="cellIs" dxfId="18" priority="19" operator="greaterThan">
      <formula>0</formula>
    </cfRule>
    <cfRule type="cellIs" dxfId="17" priority="20" operator="equal">
      <formula>0</formula>
    </cfRule>
  </conditionalFormatting>
  <conditionalFormatting sqref="AI11:AI39">
    <cfRule type="cellIs" dxfId="16" priority="27" operator="greaterThan">
      <formula>0</formula>
    </cfRule>
    <cfRule type="cellIs" dxfId="15" priority="28" operator="equal">
      <formula>0</formula>
    </cfRule>
  </conditionalFormatting>
  <conditionalFormatting sqref="AK10">
    <cfRule type="cellIs" dxfId="14" priority="25" operator="greaterThan">
      <formula>0</formula>
    </cfRule>
    <cfRule type="cellIs" dxfId="13" priority="26" operator="equal">
      <formula>0</formula>
    </cfRule>
  </conditionalFormatting>
  <conditionalFormatting sqref="AK11:AK39">
    <cfRule type="cellIs" dxfId="12" priority="23" operator="greaterThan">
      <formula>0</formula>
    </cfRule>
    <cfRule type="cellIs" dxfId="11" priority="24" operator="equal">
      <formula>0</formula>
    </cfRule>
  </conditionalFormatting>
  <conditionalFormatting sqref="AM10">
    <cfRule type="cellIs" dxfId="10" priority="21" operator="greaterThan">
      <formula>0</formula>
    </cfRule>
    <cfRule type="cellIs" dxfId="9" priority="22" operator="equal">
      <formula>0</formula>
    </cfRule>
  </conditionalFormatting>
  <conditionalFormatting sqref="X10">
    <cfRule type="cellIs" dxfId="8" priority="16" operator="greaterThan">
      <formula>0</formula>
    </cfRule>
    <cfRule type="cellIs" dxfId="7" priority="17" operator="equal">
      <formula>0</formula>
    </cfRule>
    <cfRule type="cellIs" dxfId="6" priority="18" operator="lessThan">
      <formula>0</formula>
    </cfRule>
  </conditionalFormatting>
  <conditionalFormatting sqref="X11:X81">
    <cfRule type="cellIs" dxfId="5" priority="7" operator="greaterThan">
      <formula>0</formula>
    </cfRule>
    <cfRule type="cellIs" dxfId="4" priority="8" operator="equal">
      <formula>0</formula>
    </cfRule>
    <cfRule type="cellIs" dxfId="3" priority="9" operator="lessThan">
      <formula>0</formula>
    </cfRule>
  </conditionalFormatting>
  <conditionalFormatting sqref="R18:R81">
    <cfRule type="cellIs" dxfId="2" priority="3" operator="equal">
      <formula>0</formula>
    </cfRule>
    <cfRule type="cellIs" dxfId="1" priority="4"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D8136-32B5-374F-A305-671E5958DA7C}">
  <dimension ref="F4:O14"/>
  <sheetViews>
    <sheetView zoomScale="80" zoomScaleNormal="80" workbookViewId="0">
      <selection activeCell="G37" sqref="G37"/>
    </sheetView>
  </sheetViews>
  <sheetFormatPr baseColWidth="10" defaultRowHeight="15"/>
  <cols>
    <col min="5" max="5" width="17" customWidth="1"/>
    <col min="6" max="6" width="14.83203125" customWidth="1"/>
    <col min="7" max="7" width="17.5" customWidth="1"/>
    <col min="8" max="8" width="17" customWidth="1"/>
    <col min="9" max="9" width="14.6640625" customWidth="1"/>
    <col min="10" max="10" width="14.33203125" customWidth="1"/>
    <col min="11" max="11" width="15.6640625" customWidth="1"/>
    <col min="12" max="12" width="12.33203125" customWidth="1"/>
  </cols>
  <sheetData>
    <row r="4" spans="6:15" ht="16" thickBot="1"/>
    <row r="5" spans="6:15" ht="117" customHeight="1" thickBot="1">
      <c r="F5" s="286" t="s">
        <v>28</v>
      </c>
      <c r="G5" s="287" t="s">
        <v>308</v>
      </c>
      <c r="H5" s="287" t="s">
        <v>154</v>
      </c>
      <c r="I5" s="287" t="s">
        <v>155</v>
      </c>
      <c r="J5" s="287" t="s">
        <v>156</v>
      </c>
      <c r="K5" s="287" t="s">
        <v>158</v>
      </c>
      <c r="L5" s="288" t="s">
        <v>153</v>
      </c>
    </row>
    <row r="6" spans="6:15" ht="19">
      <c r="F6" s="283">
        <v>1</v>
      </c>
      <c r="G6" s="284">
        <v>10000</v>
      </c>
      <c r="H6" s="284">
        <f>G6</f>
        <v>10000</v>
      </c>
      <c r="I6" s="284">
        <f>G6-H6</f>
        <v>0</v>
      </c>
      <c r="J6" s="284"/>
      <c r="K6" s="285">
        <f>I6</f>
        <v>0</v>
      </c>
      <c r="L6" s="68"/>
    </row>
    <row r="7" spans="6:15" ht="19">
      <c r="F7" s="274">
        <v>2</v>
      </c>
      <c r="G7" s="275">
        <f>G6+25</f>
        <v>10025</v>
      </c>
      <c r="H7" s="275">
        <f>H6+200</f>
        <v>10200</v>
      </c>
      <c r="I7" s="275">
        <f t="shared" ref="I7:I10" si="0">G7-H7</f>
        <v>-175</v>
      </c>
      <c r="J7" s="275">
        <f t="shared" ref="J7:J10" si="1">G7+I7</f>
        <v>9850</v>
      </c>
      <c r="K7" s="281">
        <f>K6+I7</f>
        <v>-175</v>
      </c>
      <c r="L7" s="18">
        <f>J7/G7</f>
        <v>0.98254364089775559</v>
      </c>
    </row>
    <row r="8" spans="6:15" ht="19">
      <c r="F8" s="274">
        <v>3</v>
      </c>
      <c r="G8" s="275">
        <f t="shared" ref="G8:G10" si="2">G7+25</f>
        <v>10050</v>
      </c>
      <c r="H8" s="275">
        <f>H7+300</f>
        <v>10500</v>
      </c>
      <c r="I8" s="275">
        <f t="shared" si="0"/>
        <v>-450</v>
      </c>
      <c r="J8" s="275">
        <f t="shared" si="1"/>
        <v>9600</v>
      </c>
      <c r="K8" s="281">
        <f t="shared" ref="K8:K10" si="3">K7+I8</f>
        <v>-625</v>
      </c>
      <c r="L8" s="18">
        <f t="shared" ref="L8:L10" si="4">J8/G8</f>
        <v>0.95522388059701491</v>
      </c>
    </row>
    <row r="9" spans="6:15" ht="19">
      <c r="F9" s="274">
        <v>4</v>
      </c>
      <c r="G9" s="275">
        <f t="shared" si="2"/>
        <v>10075</v>
      </c>
      <c r="H9" s="275">
        <f t="shared" ref="H9:H10" si="5">H8+200</f>
        <v>10700</v>
      </c>
      <c r="I9" s="275">
        <f t="shared" si="0"/>
        <v>-625</v>
      </c>
      <c r="J9" s="275">
        <f t="shared" si="1"/>
        <v>9450</v>
      </c>
      <c r="K9" s="281">
        <f t="shared" si="3"/>
        <v>-1250</v>
      </c>
      <c r="L9" s="18">
        <f t="shared" si="4"/>
        <v>0.93796526054590568</v>
      </c>
    </row>
    <row r="10" spans="6:15" ht="20" thickBot="1">
      <c r="F10" s="276">
        <v>5</v>
      </c>
      <c r="G10" s="277">
        <f t="shared" si="2"/>
        <v>10100</v>
      </c>
      <c r="H10" s="277">
        <f t="shared" si="5"/>
        <v>10900</v>
      </c>
      <c r="I10" s="278">
        <f t="shared" si="0"/>
        <v>-800</v>
      </c>
      <c r="J10" s="278">
        <f t="shared" si="1"/>
        <v>9300</v>
      </c>
      <c r="K10" s="282">
        <f t="shared" si="3"/>
        <v>-2050</v>
      </c>
      <c r="L10" s="18">
        <f t="shared" si="4"/>
        <v>0.92079207920792083</v>
      </c>
      <c r="M10" s="232"/>
      <c r="O10" s="20"/>
    </row>
    <row r="11" spans="6:15" ht="20" thickBot="1">
      <c r="F11" s="289" t="s">
        <v>152</v>
      </c>
      <c r="G11" s="290">
        <f>SUM(G6:G10)</f>
        <v>50250</v>
      </c>
      <c r="H11" s="291">
        <f>SUM(H6:H10)</f>
        <v>52300</v>
      </c>
      <c r="I11" s="279"/>
      <c r="J11" s="37"/>
    </row>
    <row r="12" spans="6:15" ht="41" thickBot="1">
      <c r="F12" s="280" t="s">
        <v>157</v>
      </c>
      <c r="G12" s="801">
        <f>G11-H11</f>
        <v>-2050</v>
      </c>
      <c r="H12" s="802"/>
    </row>
    <row r="14" spans="6:15">
      <c r="I14" s="239"/>
    </row>
  </sheetData>
  <sheetProtection algorithmName="SHA-512" hashValue="6FPyvCPIEpiIBwV8aLwv0acnA7YvII/MPDts5+q2NCoo50k587sWIk7W8H7XZElMt5aJKQnGS5Uh+DkQBuxuUQ==" saltValue="dmwdB+MiJb25Iov21J3ymA==" spinCount="100000" sheet="1" objects="1" scenarios="1"/>
  <mergeCells count="1">
    <mergeCell ref="G12:H12"/>
  </mergeCells>
  <conditionalFormatting sqref="G6:K10 G12:K12 G11:J11">
    <cfRule type="cellIs" dxfId="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THE RULES AND FORMULA</vt:lpstr>
      <vt:lpstr>UNDERSTANDING THE FORMULA</vt:lpstr>
      <vt:lpstr>MASTER SUMMARY</vt:lpstr>
      <vt:lpstr>SUMMARY GRAPHS</vt:lpstr>
      <vt:lpstr>DETAILED MODELLER - PERSON 1</vt:lpstr>
      <vt:lpstr>TABLES-ACTUAL &amp; FUTURE RATES</vt:lpstr>
      <vt:lpstr>Buying Power 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David Carson</cp:lastModifiedBy>
  <cp:lastPrinted>2020-11-24T09:33:40Z</cp:lastPrinted>
  <dcterms:created xsi:type="dcterms:W3CDTF">2020-11-24T07:33:13Z</dcterms:created>
  <dcterms:modified xsi:type="dcterms:W3CDTF">2021-02-23T16:55:43Z</dcterms:modified>
  <cp:category/>
</cp:coreProperties>
</file>